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franklinenergy-my.sharepoint.com/personal/cclementz_franklinenergy_com/Documents/Documents/Oddball Tasks/Calc Updates for 2026/"/>
    </mc:Choice>
  </mc:AlternateContent>
  <xr:revisionPtr revIDLastSave="343" documentId="8_{CCEA67D6-0962-40BA-833E-84D0053AB05C}" xr6:coauthVersionLast="47" xr6:coauthVersionMax="47" xr10:uidLastSave="{D3258221-FFCA-4B52-A29E-5F6BBF049AB7}"/>
  <workbookProtection workbookAlgorithmName="SHA-512" workbookHashValue="up8cV0VFT/QKfPjMcI0HTd1stLUbpYNdiR8KFFh3XGIf+xI0ChRPrb8MlFAGXMdx+zMR/1sdZLilP+jyJhOixA==" workbookSaltValue="tEoeZ8owJLoIqb5ocoV9Dw==" workbookSpinCount="100000" lockStructure="1"/>
  <bookViews>
    <workbookView xWindow="-28920" yWindow="-120" windowWidth="29040" windowHeight="15720" xr2:uid="{00000000-000D-0000-FFFF-FFFF00000000}"/>
  </bookViews>
  <sheets>
    <sheet name="Chiller" sheetId="1" r:id="rId1"/>
    <sheet name="RTU &amp; Split System" sheetId="2" r:id="rId2"/>
    <sheet name="Setup" sheetId="3" state="hidden" r:id="rId3"/>
  </sheets>
  <definedNames>
    <definedName name="BusinessCoolingTypeList">'RTU &amp; Split System'!$O$149:$O$154</definedName>
    <definedName name="MultifamilyCoolingTypeList">'RTU &amp; Split System'!$O$109:$O$183</definedName>
    <definedName name="_xlnm.Print_Area" localSheetId="0">Chiller!$A$1:$I$69</definedName>
    <definedName name="_xlnm.Print_Area" localSheetId="1">'RTU &amp; Split System'!$A$1:$I$50</definedName>
    <definedName name="SmallBusinessCoolingTypeList">'RTU &amp; Split System'!#REF!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2" l="1"/>
  <c r="D7" i="1" l="1"/>
  <c r="C12" i="1"/>
  <c r="R121" i="2"/>
  <c r="P121" i="2"/>
  <c r="W121" i="2"/>
  <c r="S123" i="2"/>
  <c r="W123" i="2" s="1"/>
  <c r="Q121" i="2"/>
  <c r="D11" i="2"/>
  <c r="D12" i="2" l="1"/>
  <c r="D17" i="2"/>
  <c r="D42" i="1"/>
  <c r="D23" i="1"/>
  <c r="D22" i="1"/>
  <c r="C90" i="1" s="1"/>
  <c r="C23" i="1"/>
  <c r="C22" i="1"/>
  <c r="C89" i="1" l="1"/>
  <c r="D54" i="1"/>
  <c r="I18" i="2" l="1"/>
  <c r="I17" i="2"/>
  <c r="G18" i="2"/>
  <c r="G17" i="2"/>
  <c r="K73" i="1" l="1"/>
  <c r="K72" i="1"/>
  <c r="E48" i="2" l="1"/>
  <c r="E64" i="2"/>
  <c r="F64" i="2" s="1"/>
  <c r="H64" i="2" s="1"/>
  <c r="I64" i="2" s="1"/>
  <c r="F48" i="2" l="1"/>
  <c r="H48" i="2" s="1"/>
  <c r="I48" i="2" s="1"/>
  <c r="G88" i="1"/>
  <c r="H88" i="1" l="1"/>
  <c r="J88" i="1" s="1"/>
  <c r="K88" i="1" s="1"/>
  <c r="T156" i="1"/>
  <c r="T158" i="1"/>
  <c r="T157" i="1"/>
  <c r="S156" i="1"/>
  <c r="S158" i="1"/>
  <c r="S157" i="1"/>
  <c r="F29" i="1" l="1"/>
  <c r="F60" i="1"/>
  <c r="B90" i="1" s="1"/>
  <c r="D60" i="1"/>
  <c r="B89" i="1" s="1"/>
  <c r="F12" i="2" l="1"/>
  <c r="O61" i="2"/>
  <c r="B10" i="2"/>
  <c r="O63" i="2" l="1" a="1"/>
  <c r="O63" i="2" s="1"/>
  <c r="D15" i="2"/>
  <c r="D26" i="2"/>
  <c r="O62" i="2"/>
  <c r="B65" i="2"/>
  <c r="B49" i="2"/>
  <c r="A44" i="2" l="1"/>
  <c r="I45" i="2" s="1"/>
  <c r="B35" i="2"/>
  <c r="B34" i="2"/>
  <c r="B33" i="2"/>
  <c r="G49" i="2"/>
  <c r="D33" i="2"/>
  <c r="A60" i="2"/>
  <c r="I61" i="2" s="1"/>
  <c r="A52" i="2"/>
  <c r="C27" i="2"/>
  <c r="C26" i="2"/>
  <c r="E26" i="2" s="1"/>
  <c r="C28" i="2"/>
  <c r="D18" i="2" s="1"/>
  <c r="F54" i="1"/>
  <c r="F55" i="1"/>
  <c r="E29" i="1"/>
  <c r="D55" i="1"/>
  <c r="E30" i="1"/>
  <c r="R121" i="1"/>
  <c r="R122" i="1"/>
  <c r="R123" i="1"/>
  <c r="R124" i="1"/>
  <c r="W124" i="2"/>
  <c r="V124" i="2"/>
  <c r="U124" i="2"/>
  <c r="T124" i="2"/>
  <c r="R124" i="2"/>
  <c r="P124" i="2"/>
  <c r="C38" i="2"/>
  <c r="U121" i="2"/>
  <c r="W122" i="2"/>
  <c r="U123" i="2"/>
  <c r="U122" i="2"/>
  <c r="V123" i="2"/>
  <c r="V122" i="2"/>
  <c r="H18" i="2" s="1"/>
  <c r="D28" i="2" s="1"/>
  <c r="V121" i="2"/>
  <c r="R123" i="2"/>
  <c r="R122" i="2"/>
  <c r="T123" i="2"/>
  <c r="T122" i="2"/>
  <c r="F18" i="2" s="1"/>
  <c r="T121" i="2"/>
  <c r="P123" i="2"/>
  <c r="P122" i="2"/>
  <c r="T135" i="1"/>
  <c r="S135" i="1"/>
  <c r="T134" i="1"/>
  <c r="S134" i="1"/>
  <c r="T122" i="1"/>
  <c r="S122" i="1"/>
  <c r="T121" i="1"/>
  <c r="S121" i="1"/>
  <c r="R145" i="1"/>
  <c r="R144" i="1"/>
  <c r="R143" i="1"/>
  <c r="R142" i="1"/>
  <c r="R141" i="1"/>
  <c r="R140" i="1"/>
  <c r="R139" i="1"/>
  <c r="R138" i="1"/>
  <c r="R137" i="1"/>
  <c r="R136" i="1"/>
  <c r="R131" i="1"/>
  <c r="R130" i="1"/>
  <c r="R126" i="1"/>
  <c r="R135" i="1"/>
  <c r="R134" i="1"/>
  <c r="C36" i="2"/>
  <c r="C48" i="1"/>
  <c r="R128" i="1"/>
  <c r="R132" i="1"/>
  <c r="R129" i="1"/>
  <c r="R127" i="1"/>
  <c r="R125" i="1"/>
  <c r="F40" i="1"/>
  <c r="G40" i="1" s="1"/>
  <c r="F39" i="1"/>
  <c r="G39" i="1" s="1"/>
  <c r="F38" i="1"/>
  <c r="G38" i="1" s="1"/>
  <c r="F37" i="1"/>
  <c r="G37" i="1" s="1"/>
  <c r="D36" i="1"/>
  <c r="C36" i="1"/>
  <c r="C13" i="1"/>
  <c r="V158" i="1"/>
  <c r="U158" i="1"/>
  <c r="V157" i="1"/>
  <c r="U157" i="1"/>
  <c r="V156" i="1"/>
  <c r="U156" i="1"/>
  <c r="F30" i="1"/>
  <c r="I30" i="1"/>
  <c r="I29" i="1"/>
  <c r="G30" i="1"/>
  <c r="G29" i="1"/>
  <c r="W157" i="1"/>
  <c r="X157" i="1"/>
  <c r="F17" i="2" l="1"/>
  <c r="H17" i="2"/>
  <c r="E28" i="2"/>
  <c r="H53" i="2"/>
  <c r="I53" i="2"/>
  <c r="H30" i="1"/>
  <c r="D27" i="2"/>
  <c r="E27" i="2" s="1"/>
  <c r="C54" i="1"/>
  <c r="D90" i="1" s="1"/>
  <c r="D50" i="1"/>
  <c r="D49" i="1"/>
  <c r="I89" i="1" s="1"/>
  <c r="H29" i="1"/>
  <c r="C55" i="1"/>
  <c r="E90" i="1"/>
  <c r="E89" i="1"/>
  <c r="C18" i="1"/>
  <c r="C16" i="1"/>
  <c r="C17" i="1"/>
  <c r="C15" i="1"/>
  <c r="C14" i="1"/>
  <c r="F42" i="1"/>
  <c r="G42" i="1"/>
  <c r="C49" i="2"/>
  <c r="H61" i="2" l="1"/>
  <c r="G65" i="2" s="1" a="1"/>
  <c r="G65" i="2" s="1"/>
  <c r="F90" i="1"/>
  <c r="G90" i="1" s="1"/>
  <c r="H90" i="1" s="1"/>
  <c r="G55" i="1"/>
  <c r="G54" i="1"/>
  <c r="E54" i="1"/>
  <c r="E55" i="1"/>
  <c r="F89" i="1"/>
  <c r="D89" i="1"/>
  <c r="I90" i="1"/>
  <c r="C65" i="2"/>
  <c r="D59" i="1" l="1"/>
  <c r="D61" i="1" s="1"/>
  <c r="C31" i="2"/>
  <c r="F59" i="1"/>
  <c r="F61" i="1" s="1"/>
  <c r="G89" i="1"/>
  <c r="H89" i="1" s="1"/>
  <c r="F56" i="1"/>
  <c r="F57" i="1" s="1"/>
  <c r="D56" i="1"/>
  <c r="D57" i="1" s="1"/>
  <c r="E33" i="2" l="1"/>
  <c r="C34" i="2"/>
  <c r="D34" i="2" s="1"/>
  <c r="C33" i="2"/>
  <c r="J89" i="1"/>
  <c r="K89" i="1"/>
  <c r="K90" i="1"/>
  <c r="J90" i="1"/>
  <c r="D49" i="2"/>
  <c r="E49" i="2" s="1"/>
  <c r="F49" i="2" s="1"/>
  <c r="D65" i="2"/>
  <c r="E65" i="2" s="1"/>
  <c r="B40" i="2" l="1"/>
  <c r="C40" i="2"/>
  <c r="D40" i="2" s="1"/>
  <c r="F65" i="2" a="1"/>
  <c r="F65" i="2" s="1"/>
  <c r="H65" i="2" s="1"/>
  <c r="H49" i="2"/>
  <c r="B63" i="1"/>
  <c r="C35" i="2" l="1"/>
  <c r="C37" i="2" l="1"/>
  <c r="C39" i="2" s="1"/>
  <c r="I49" i="2" l="1"/>
  <c r="I6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Zach Obert</author>
  </authors>
  <commentList>
    <comment ref="H36" authorId="0" shapeId="0" xr:uid="{00000000-0006-0000-0000-000001000000}">
      <text>
        <r>
          <rPr>
            <b/>
            <sz val="9"/>
            <color indexed="81"/>
            <rFont val="Tahoma"/>
            <family val="2"/>
          </rPr>
          <t>Zach Obert:</t>
        </r>
        <r>
          <rPr>
            <sz val="9"/>
            <color indexed="81"/>
            <rFont val="Tahoma"/>
            <family val="2"/>
          </rPr>
          <t xml:space="preserve">
From page 9 of: 
</t>
        </r>
        <r>
          <rPr>
            <sz val="8"/>
            <color indexed="81"/>
            <rFont val="Tahoma"/>
            <family val="2"/>
          </rPr>
          <t xml:space="preserve">http://www.ahrinet.org/App_Content/ahri/files/standards%20pdfs/AHRI%20standards%20pdfs/AHRI%20Standard%20550-590%20(I-P)-2011.pdf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tc={8F884DAF-F53C-41A9-945B-BD915CAC4B83}</author>
  </authors>
  <commentList>
    <comment ref="P131" authorId="0" shapeId="0" xr:uid="{8F884DAF-F53C-41A9-945B-BD915CAC4B83}">
      <text>
        <t>[Threaded comment]
Your version of Excel allows you to read this threaded comment; however, any edits to it will get removed if the file is opened in a newer version of Excel. Learn more: https://go.microsoft.com/fwlink/?linkid=870924
Comment:
    Removed option as result of 2024 mid-year update.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<sst xmlns="http://schemas.openxmlformats.org/spreadsheetml/2006/main" count="904" uniqueCount="322">
  <si>
    <t>hide</t>
  </si>
  <si>
    <t>Chiller Eligibility Screening Tool 2026</t>
  </si>
  <si>
    <t>Chiller Type and Performance Data</t>
  </si>
  <si>
    <t>Chiller Type:</t>
  </si>
  <si>
    <t>Property Type:</t>
  </si>
  <si>
    <t>Chiller AHRI Capacity:</t>
  </si>
  <si>
    <t>Tons</t>
  </si>
  <si>
    <t>enter capacity at AHRI Conditions, not nominal capacity</t>
  </si>
  <si>
    <t>AHRI Conditions:</t>
  </si>
  <si>
    <t>Path A</t>
  </si>
  <si>
    <t>Path B</t>
  </si>
  <si>
    <t>Full Load Efficiency:</t>
  </si>
  <si>
    <t>kW/Ton</t>
  </si>
  <si>
    <t>Part Load Efficiency (IPLV):</t>
  </si>
  <si>
    <t>Proposed Chiller Efficiency</t>
  </si>
  <si>
    <t>Chiller performance data must be at the AHRI conditions listed above</t>
  </si>
  <si>
    <t>Known Efficiency Rating:</t>
  </si>
  <si>
    <t>This is equivalent to:</t>
  </si>
  <si>
    <r>
      <t>If IPLV not known, enter part load ratings below to calculate</t>
    </r>
    <r>
      <rPr>
        <sz val="11"/>
        <color theme="1"/>
        <rFont val="Calibri"/>
        <family val="2"/>
      </rPr>
      <t xml:space="preserve"> (otherwise skip)</t>
    </r>
  </si>
  <si>
    <t>www.ahrinet.org/App_Content/ahri/files/standards%20pdfs/AHRI%20standards%20pdfs/AHRI%20Standard%20550-590%20(I-P)-2011.pdf</t>
  </si>
  <si>
    <t>Known % Load values are:</t>
  </si>
  <si>
    <t>Clear cells C37 to D40 after changing this value</t>
  </si>
  <si>
    <t>% Load</t>
  </si>
  <si>
    <t>kW/ton</t>
  </si>
  <si>
    <t>EER</t>
  </si>
  <si>
    <t>IPLV Formula Coefficient</t>
  </si>
  <si>
    <t>Calculated IPLV:</t>
  </si>
  <si>
    <t>/ton</t>
  </si>
  <si>
    <t>/ton per 1.0 EER above threshold and per 1.0 IEER above threshold</t>
  </si>
  <si>
    <t>Max kW/Ton to Qualify</t>
  </si>
  <si>
    <r>
      <t>Actual kW/Ton</t>
    </r>
    <r>
      <rPr>
        <sz val="8"/>
        <color theme="1"/>
        <rFont val="Calibri"/>
        <family val="2"/>
      </rPr>
      <t xml:space="preserve"> 
(Rounded to three Decimals)</t>
    </r>
  </si>
  <si>
    <t xml:space="preserve">Eligible? </t>
  </si>
  <si>
    <t>Chiller Capacity (tons):</t>
  </si>
  <si>
    <t>Measure Code</t>
  </si>
  <si>
    <t xml:space="preserve">B1 </t>
  </si>
  <si>
    <t xml:space="preserve">CHILLERS (BUILDING COOLING LOAD) - </t>
  </si>
  <si>
    <t>INCENTIVE CODE: H2249, H2250, H2251, H2252 , M-H2249, M-H2250, M-H2251, M-H2252</t>
  </si>
  <si>
    <t>EQUIP #</t>
  </si>
  <si>
    <r>
      <t xml:space="preserve">ANNUAL HOURS OF CHILLER OPERATION
</t>
    </r>
    <r>
      <rPr>
        <sz val="8"/>
        <color theme="1"/>
        <rFont val="Calibri"/>
        <family val="2"/>
      </rPr>
      <t>(hours chiller enabled to provide some cooling to building)</t>
    </r>
  </si>
  <si>
    <t>BUILDING / SPACE DESIGN 
COOLING LOAD (tons)</t>
  </si>
  <si>
    <t>BASE OR TRIM CHILLER?</t>
  </si>
  <si>
    <t>C1</t>
  </si>
  <si>
    <t>PAGE 19-20</t>
  </si>
  <si>
    <t>EQUIP TYPE</t>
  </si>
  <si>
    <t>CHILLER LOCKOUT TEMPERATURE (°F)</t>
  </si>
  <si>
    <t>CODE COMPLIANCE 
PATH: A OR B</t>
  </si>
  <si>
    <t>(Example) Air-Cooled</t>
  </si>
  <si>
    <t>Base</t>
  </si>
  <si>
    <t>53 °F</t>
  </si>
  <si>
    <t>C2</t>
  </si>
  <si>
    <r>
      <t xml:space="preserve">(A)
AHRI RATED CAPACITY
</t>
    </r>
    <r>
      <rPr>
        <b/>
        <sz val="7"/>
        <color theme="0"/>
        <rFont val="Calibri"/>
        <family val="2"/>
      </rPr>
      <t>(TONS, WHOLE 
NUMBER)</t>
    </r>
  </si>
  <si>
    <r>
      <t>(C)
AHRI RATED FULL LOAD EFFICIENCY</t>
    </r>
    <r>
      <rPr>
        <b/>
        <sz val="8"/>
        <color theme="0"/>
        <rFont val="Calibri"/>
        <family val="2"/>
      </rPr>
      <t xml:space="preserve"> 
</t>
    </r>
    <r>
      <rPr>
        <b/>
        <sz val="7"/>
        <color theme="0"/>
        <rFont val="Calibri"/>
        <family val="2"/>
      </rPr>
      <t>(KW/TON, 3 DECIMALS)</t>
    </r>
  </si>
  <si>
    <r>
      <t xml:space="preserve">(F)
DELTA EFFICIENCY:
</t>
    </r>
    <r>
      <rPr>
        <b/>
        <sz val="8"/>
        <color theme="0"/>
        <rFont val="Calibri"/>
        <family val="2"/>
      </rPr>
      <t>((B - C) + (D - E))</t>
    </r>
  </si>
  <si>
    <t>(Example)
Chiller 1</t>
  </si>
  <si>
    <t>IECC 2021 Code Requirement
[from Table C403.3.2(3)]</t>
  </si>
  <si>
    <t>Focus on Energy Min. Efficiency
to Qualify</t>
  </si>
  <si>
    <t>Chiller Type</t>
  </si>
  <si>
    <t>Min Tons</t>
  </si>
  <si>
    <t>Max Tons</t>
  </si>
  <si>
    <t>=1 when matches proposed chiller</t>
  </si>
  <si>
    <t>Full Load kW/ton</t>
  </si>
  <si>
    <t>IPLV</t>
  </si>
  <si>
    <t>Additional per 1.0 kW/ton</t>
  </si>
  <si>
    <t>Air-cooled chiller &lt; 150 tons</t>
  </si>
  <si>
    <t>H4712</t>
  </si>
  <si>
    <t>Air-cooled chiller ≥ 150 tons</t>
  </si>
  <si>
    <t>H4713</t>
  </si>
  <si>
    <t>Water cooled, positive displacement (rotary screw or scroll) &lt; 75 tons</t>
  </si>
  <si>
    <t>H4716</t>
  </si>
  <si>
    <t>Water cooled, positive displacement (rotary screw or scroll) ≥ 75 tons and &lt; 150 tons</t>
  </si>
  <si>
    <t>H4717</t>
  </si>
  <si>
    <t>Water cooled, positive displacement (rotary screw or scroll) ≥ 150 tons and &lt; 300 tons</t>
  </si>
  <si>
    <t>H4718</t>
  </si>
  <si>
    <t>Water cooled, positive displacement (rotary screw or scroll) ≥ 300 tons and &lt; 600 tons</t>
  </si>
  <si>
    <t>H4719</t>
  </si>
  <si>
    <t>Water cooled, positive displacement (rotary screw or scroll) ≥ 600 tons</t>
  </si>
  <si>
    <t>H4720</t>
  </si>
  <si>
    <t>Water cooled, centrifugal &lt; 150 tons</t>
  </si>
  <si>
    <t>H4726</t>
  </si>
  <si>
    <t>Water cooled, centrifugal ≥ 150 tons and &lt; 300 tons</t>
  </si>
  <si>
    <t>H4727</t>
  </si>
  <si>
    <t>Water cooled, centrifugal ≥ 300 tons and &lt; 400 tons</t>
  </si>
  <si>
    <t>H4728</t>
  </si>
  <si>
    <t>Water cooled, centrifugal ≥ 400 tons and &lt; 600 tons</t>
  </si>
  <si>
    <t>H4729</t>
  </si>
  <si>
    <t>Water cooled, centrifugal ≥ 600 tons</t>
  </si>
  <si>
    <t>H4730</t>
  </si>
  <si>
    <t>H4714</t>
  </si>
  <si>
    <t>H4715</t>
  </si>
  <si>
    <t>H4721</t>
  </si>
  <si>
    <t>H4722</t>
  </si>
  <si>
    <t>H4723</t>
  </si>
  <si>
    <t>H4724</t>
  </si>
  <si>
    <t>H4725</t>
  </si>
  <si>
    <t>H4731</t>
  </si>
  <si>
    <t>H4732</t>
  </si>
  <si>
    <t>H4733</t>
  </si>
  <si>
    <t>H4734</t>
  </si>
  <si>
    <t>H4735</t>
  </si>
  <si>
    <t>kW/ton = 12 / EER</t>
  </si>
  <si>
    <t>Known Efficiency Rating</t>
  </si>
  <si>
    <t>Alt rating 1 Units</t>
  </si>
  <si>
    <t>Alt rating 2 Units</t>
  </si>
  <si>
    <t>Alt Rating 1 Value Full</t>
  </si>
  <si>
    <t>Alt Rating 1 Value Part</t>
  </si>
  <si>
    <t>Alt Rating 2 Value Full</t>
  </si>
  <si>
    <t>Alt Rating 2 Value Part</t>
  </si>
  <si>
    <t>Min Efficiency</t>
  </si>
  <si>
    <t>Max Efficiency</t>
  </si>
  <si>
    <t>kW/ton = 12 (COP x 3.412)</t>
  </si>
  <si>
    <t>COP = EER / 3.412</t>
  </si>
  <si>
    <t>COP = 12 / (kW/ton) / 3.412</t>
  </si>
  <si>
    <t>COP</t>
  </si>
  <si>
    <t>EER = 12 / kW/ton</t>
  </si>
  <si>
    <t>EER = COP x 3.412</t>
  </si>
  <si>
    <t>Lookup Tables</t>
  </si>
  <si>
    <t>Water Cooled Chillers</t>
  </si>
  <si>
    <t>Air Cooled Chillers</t>
  </si>
  <si>
    <t>Facility Types</t>
  </si>
  <si>
    <t>Small Biz Eligible Chiller Types</t>
  </si>
  <si>
    <t>Property Type</t>
  </si>
  <si>
    <t>44 deg. F chilled water supply</t>
  </si>
  <si>
    <t>Business</t>
  </si>
  <si>
    <t>Existing Building</t>
  </si>
  <si>
    <t>85 deg. F condenser water entering temp (temp coming back from cooling tower)</t>
  </si>
  <si>
    <t>95 deg. F entering air (dry bulb) on the condensing side</t>
  </si>
  <si>
    <t>Multifamily</t>
  </si>
  <si>
    <t>M-</t>
  </si>
  <si>
    <t>New Construction</t>
  </si>
  <si>
    <t>2.4 gpm/ton flow rate on the chilled water side</t>
  </si>
  <si>
    <t xml:space="preserve">2.4 gpm/ton flow rate on the chilled water side </t>
  </si>
  <si>
    <t>0.0001 hr ft^2 deg. F/Btu evaporator fouling factor allowance</t>
  </si>
  <si>
    <t>3.0 gpm/ton flow rate on the condenser water side</t>
  </si>
  <si>
    <t xml:space="preserve"> </t>
  </si>
  <si>
    <t>0.00025 hr ft^2 deg. F/Btu condenser fouling factor allowance</t>
  </si>
  <si>
    <t>% Load IPLV Calc Lookups</t>
  </si>
  <si>
    <t>Column 1</t>
  </si>
  <si>
    <t>Column 2</t>
  </si>
  <si>
    <t>Tons and Total kW</t>
  </si>
  <si>
    <t>Total kW</t>
  </si>
  <si>
    <t>Short</t>
  </si>
  <si>
    <t>Eligibility Details</t>
  </si>
  <si>
    <t>Blank</t>
  </si>
  <si>
    <t>Error - No Chiller Type Selected</t>
  </si>
  <si>
    <t>Qualifies</t>
  </si>
  <si>
    <t>YES, Chiller meets full load and part load efficiency requirements</t>
  </si>
  <si>
    <t>DNQ</t>
  </si>
  <si>
    <t>NO, Chiller does not meet full load or part load efficiency requirements</t>
  </si>
  <si>
    <t>RTU and Split System Cooling Eligibility Screening Tool 2026</t>
  </si>
  <si>
    <t>Cooling System Type and Performance Data</t>
  </si>
  <si>
    <t>Facility Type:</t>
  </si>
  <si>
    <t>AHRI Cooling Capacity (tons):</t>
  </si>
  <si>
    <t>Enter capacity at AHRI Conditions, not nominal capacity</t>
  </si>
  <si>
    <t>Cooling System Type:</t>
  </si>
  <si>
    <t>Number of A/C or Heat Pump Units:</t>
  </si>
  <si>
    <t>Known Cooling Efficiency Rating:</t>
  </si>
  <si>
    <t xml:space="preserve">Cooling performance data must be at the AHRI conditions </t>
  </si>
  <si>
    <t>Full Load Cooling Efficiency:</t>
  </si>
  <si>
    <t>Part Load Cooling Efficiency:</t>
  </si>
  <si>
    <t>Min to Qualify</t>
  </si>
  <si>
    <t>Actual Efficiency</t>
  </si>
  <si>
    <t>Full Load Cooling Efficiency (SEER2):</t>
  </si>
  <si>
    <t>Full Load Cooling Efficiency (EER):</t>
  </si>
  <si>
    <t>Part Load Cooling Efficiency (IEER):</t>
  </si>
  <si>
    <t>AHRI Capacity (tons):</t>
  </si>
  <si>
    <t>Note: Supplemental Data Sheet inputs apply only to larger systems (≥5.42 tons).</t>
  </si>
  <si>
    <t>B1</t>
  </si>
  <si>
    <t>PAGE 17</t>
  </si>
  <si>
    <t>(A)
AHRI RATED CAPACITY
(TONS, 2 DECIMALS)</t>
  </si>
  <si>
    <t>(B)
AHRI RATED PART 
LOAD EFFICIENCY
(IEER, 2 DECIMALS)</t>
  </si>
  <si>
    <t>(D)
DELTA 
EFFICIENCY
(B - C)</t>
  </si>
  <si>
    <t>(Example)
AC 1</t>
  </si>
  <si>
    <t>1 @ 15.00 tons</t>
  </si>
  <si>
    <t>B2</t>
  </si>
  <si>
    <t>EXISTING HEAT SOURCE
(Natural Gas, Electric Resistance, Heat Pump)</t>
  </si>
  <si>
    <t xml:space="preserve">EXISTING NATURAL GAS THERMAL EFFICIENCY (%)
(IF APPLICABLE) </t>
  </si>
  <si>
    <t>Natural Gas</t>
  </si>
  <si>
    <t>Intermediate Calcs</t>
  </si>
  <si>
    <t>Size Range:</t>
  </si>
  <si>
    <t>B3</t>
  </si>
  <si>
    <t>PAGE 18</t>
  </si>
  <si>
    <t>SEER2 Threshold:</t>
  </si>
  <si>
    <t>(B)
AHRI RATED FULL 
LOAD EFFICIENCY
(EER, 2 DECIMALS)</t>
  </si>
  <si>
    <t>Potential Measure Code:</t>
  </si>
  <si>
    <t xml:space="preserve">Focus Min. Efficiency to Qualify </t>
  </si>
  <si>
    <t>Facility Type</t>
  </si>
  <si>
    <t>DX Cooling Type</t>
  </si>
  <si>
    <t>Size Range</t>
  </si>
  <si>
    <t>SEER2</t>
  </si>
  <si>
    <t>IEER</t>
  </si>
  <si>
    <t>HSPF2</t>
  </si>
  <si>
    <t>Supplemental Data Sheet</t>
  </si>
  <si>
    <t>Measure Name from Catalog</t>
  </si>
  <si>
    <t>H5423</t>
  </si>
  <si>
    <t>Data Center and Telecom</t>
  </si>
  <si>
    <t>Split System</t>
  </si>
  <si>
    <t>&lt;5.42</t>
  </si>
  <si>
    <t>N/A</t>
  </si>
  <si>
    <t>A/C Unit</t>
  </si>
  <si>
    <t>None</t>
  </si>
  <si>
    <t>16 SEER2 A/C Split System or Single Package, &lt; 5.42 tons</t>
  </si>
  <si>
    <t>H5424</t>
  </si>
  <si>
    <t>17 SEER2 A/C Split System or Single Package, &lt; 5.42 tons</t>
  </si>
  <si>
    <t>H5425</t>
  </si>
  <si>
    <t>18 SEER2 A/C Split System or Single Package, &lt; 5.42 tons</t>
  </si>
  <si>
    <t>H5426</t>
  </si>
  <si>
    <t>19 SEER2 A/C Split System or Single Package, &lt; 5.42 tons</t>
  </si>
  <si>
    <t>H5427</t>
  </si>
  <si>
    <t>20 SEER2 A/C Split System or Single Package, &lt; 5.42 tons</t>
  </si>
  <si>
    <t>Packaged</t>
  </si>
  <si>
    <t>H5428</t>
  </si>
  <si>
    <t>Heat Pump (Split System Only)</t>
  </si>
  <si>
    <t>16 SEER2 and 8.5 HSPF2 Split System Air-Source Heat Pump, &lt; 5.42 tons</t>
  </si>
  <si>
    <t>H5429</t>
  </si>
  <si>
    <t>17 SEER2 and 8.5 HSPF2 Split System Air-Source Heat Pump, &lt; 5.42 tons</t>
  </si>
  <si>
    <t>H5430</t>
  </si>
  <si>
    <t>18 SEER2 and 8.5 HSPF2 Split System Air-Source Heat Pump, &lt; 5.42 tons</t>
  </si>
  <si>
    <t>H5431</t>
  </si>
  <si>
    <t>19 SEER2 and 8.5 HSPF2 Split System Air-Source Heat Pump, &lt; 5.42 tons</t>
  </si>
  <si>
    <t>H5432</t>
  </si>
  <si>
    <t>20 SEER2 and 8.5 HSPF2 Split System Air-Source Heat Pump, &lt; 5.42 tons</t>
  </si>
  <si>
    <t>H4368</t>
  </si>
  <si>
    <t>5.42-11.24</t>
  </si>
  <si>
    <t>ton</t>
  </si>
  <si>
    <t>H4369</t>
  </si>
  <si>
    <t>11.25-19.99</t>
  </si>
  <si>
    <t>H4370</t>
  </si>
  <si>
    <t>20-63.32</t>
  </si>
  <si>
    <t>H4371</t>
  </si>
  <si>
    <t>&gt;=63.33</t>
  </si>
  <si>
    <t>H3909</t>
  </si>
  <si>
    <t>Condensing Unit Only</t>
  </si>
  <si>
    <t>&gt;=11.25</t>
  </si>
  <si>
    <t>Split System A/C Condensing Unit Only, ≥11.25 tons, ≥ 11.5 EER</t>
  </si>
  <si>
    <t>H10025</t>
  </si>
  <si>
    <t>Heat Pump (Split System)</t>
  </si>
  <si>
    <t>B1 &amp; B2</t>
  </si>
  <si>
    <t>Commercial Air Source Heat Pumps, ≥ 5.42 to &lt; 11.25 tons</t>
  </si>
  <si>
    <t>Heat Pump (Packaged)</t>
  </si>
  <si>
    <t>H10026</t>
  </si>
  <si>
    <t>Commercial Air Source Heat Pumps, ≥ 11.25 to &lt; 20.00 tons</t>
  </si>
  <si>
    <t>H10027</t>
  </si>
  <si>
    <t>Commercial Air Source Heat Pumps, ≥ 20.00 to &lt; 63.33 tons,</t>
  </si>
  <si>
    <t>Efficiency Units Conversion</t>
  </si>
  <si>
    <t>Full Load</t>
  </si>
  <si>
    <t>Part Load</t>
  </si>
  <si>
    <t>Alt Rating 1</t>
  </si>
  <si>
    <t>Alt Rating 2</t>
  </si>
  <si>
    <t>System Types</t>
  </si>
  <si>
    <t>Program &amp; Size:</t>
  </si>
  <si>
    <t>Data Center, &lt;= tons</t>
  </si>
  <si>
    <t>Business, &lt;5.42 tons</t>
  </si>
  <si>
    <t>Business, 5.42-11.24 tons</t>
  </si>
  <si>
    <t>Business, &gt;11.25 tons</t>
  </si>
  <si>
    <t>Supplemental Data Sheet Needed Text</t>
  </si>
  <si>
    <t>THIS SUPPLEMENTAL DATA SHEET NOT NEEDED FOR THIS FACILITY TYPE &amp; A/C SIZE</t>
  </si>
  <si>
    <t># of decimals for "Tons" input:</t>
  </si>
  <si>
    <t>Changes Cells D60 and F60 on Chiller Eligibility tab</t>
  </si>
  <si>
    <t>Hidden Tab</t>
  </si>
  <si>
    <t># of decimals for "Additional Incentive" value:</t>
  </si>
  <si>
    <t>Changes Cells H91 and H92 on Chiller Eligibility tab</t>
  </si>
  <si>
    <t>Updated 1/13/2026</t>
  </si>
  <si>
    <r>
      <t>Please complete all sections highlighted in this color to determine if your chiller is eligible for FOCUS ON ENERGY</t>
    </r>
    <r>
      <rPr>
        <sz val="9"/>
        <color rgb="FF000000"/>
        <rFont val="Aptos Narrow"/>
        <family val="2"/>
      </rPr>
      <t>®</t>
    </r>
    <r>
      <rPr>
        <sz val="9"/>
        <color rgb="FF000000"/>
        <rFont val="Calibri"/>
        <family val="2"/>
      </rPr>
      <t xml:space="preserve"> rebates.</t>
    </r>
  </si>
  <si>
    <t>(C)
FULL LOAD EFF TO QUALIFY
(EER) 
(FROM MEASURE DESCRIPTION)</t>
  </si>
  <si>
    <t>(C)
PART LOAD EFF TO QUALIFY
(IEER) 
(FROM MEASURE DESCRIPTION)</t>
  </si>
  <si>
    <t>REQUESTED REBATE*
(A x G)</t>
  </si>
  <si>
    <t xml:space="preserve">Copy the information below onto the supplemental data sheet when submitting your rebate application. </t>
  </si>
  <si>
    <t>Cooling System Eligibility and Rebate</t>
  </si>
  <si>
    <t>Rebate Each:</t>
  </si>
  <si>
    <t>Total Rebate:</t>
  </si>
  <si>
    <t>AIR CONDITIONING SPLIT, PACKAGED, AND AIR SOURCE HEAT PUMP SYSTEMS (≥ 5.42 TONS)
REBATE CODE: H4368, H4369, H4370, H4371, H10025, H10026, H10027</t>
  </si>
  <si>
    <t>(E)
ADDITIONAL REBATE
(D x $/TON)</t>
  </si>
  <si>
    <t>(F)
BASE REBATE
($/TON)</t>
  </si>
  <si>
    <t>(G)
REBATE RATE
($/TON)
(E + F)</t>
  </si>
  <si>
    <t>SPLIT SYSTEM AIR CONDITIONING - CONDENSING UNIT ONLY - REBATE CODE H3909</t>
  </si>
  <si>
    <t>(G)
REBATE RATE
($/TON) 
(E + F)</t>
  </si>
  <si>
    <t>AIR SOURCE HEAT PUMP SYSTEMS (≥ 5.42 TONS) - REBATE CODE: H10025, H10026, H10027</t>
  </si>
  <si>
    <r>
      <t xml:space="preserve">Rebates are for standard HVAC space cooling and heating (if applicable) applications only, with the exception of AHRI listed equipment &lt;5.42 tons (65,000 Btu/h) which may be used in data center and telecom facilities. 
Rooftop units and split systems ≥5.42 tons used for industrial process cooling, ice rinks, data centers, and refrigerated warehouses may qualify for a custom incentive (see focusonenergy.com/business or call 1.800.762.7077).
≥5.42 ton Air Source Heat Pump Split Systems must be installed as a "Complete System".  Partial system install may be eligible for a custom incentive.  
</t>
    </r>
    <r>
      <rPr>
        <b/>
        <sz val="10"/>
        <color rgb="FFFF0000"/>
        <rFont val="Calibri"/>
        <family val="2"/>
        <scheme val="minor"/>
      </rPr>
      <t>Beginning 6/1/2024, Split System Air-Source Heat Pumps &lt;5.42 tons eligible through Instant Discount Program only.  Please see FOCUS ON ENERGY</t>
    </r>
    <r>
      <rPr>
        <b/>
        <sz val="10"/>
        <color rgb="FFFF0000"/>
        <rFont val="Aptos Narrow"/>
        <family val="2"/>
      </rPr>
      <t>®</t>
    </r>
    <r>
      <rPr>
        <b/>
        <sz val="10"/>
        <color rgb="FFFF0000"/>
        <rFont val="Calibri"/>
        <family val="2"/>
        <scheme val="minor"/>
      </rPr>
      <t xml:space="preserve"> website for more details.</t>
    </r>
  </si>
  <si>
    <r>
      <t>Please complete all sections highlighted in this color to determine if your project is eligible for FOCUS ON ENERGY</t>
    </r>
    <r>
      <rPr>
        <sz val="12"/>
        <color rgb="FF000000"/>
        <rFont val="Aptos Narrow"/>
        <family val="2"/>
      </rPr>
      <t>®</t>
    </r>
    <r>
      <rPr>
        <sz val="12"/>
        <color rgb="FF000000"/>
        <rFont val="Calibri"/>
        <family val="2"/>
        <scheme val="minor"/>
      </rPr>
      <t xml:space="preserve"> rebates.</t>
    </r>
  </si>
  <si>
    <t>EXISTING EQUIP #</t>
  </si>
  <si>
    <t>(Example) Boiler 1</t>
  </si>
  <si>
    <t>Electric chiller rebates are only available for HVAC space cooling applications. 
Chillers used for industrial process cooling, ice rinks, data centers, and refrigerated warehouses may qualify for a custom incentive (see focusonenergy.com/business or call 1.800.762.7077).</t>
  </si>
  <si>
    <t>CHILLERS (BUILDING COOLING LOAD) - REBATE CODE: H4712-H4735</t>
  </si>
  <si>
    <t>CHILLERS (EQUIPMENT PERFORMANCE) - REBATE CODE: H4712-H4735</t>
  </si>
  <si>
    <r>
      <t xml:space="preserve">(G)
ADDITIONAL REBATE
</t>
    </r>
    <r>
      <rPr>
        <b/>
        <sz val="8"/>
        <color theme="0"/>
        <rFont val="Calibri"/>
        <family val="2"/>
      </rPr>
      <t>($/TON)</t>
    </r>
  </si>
  <si>
    <t>Chiller Eligibility and Rebate</t>
  </si>
  <si>
    <t>Per HVAC Rebate Requirements for Chillers, all kW/ton values should be rounded to three decimal places. This is reflected below.</t>
  </si>
  <si>
    <t>Base Rebate Rate:</t>
  </si>
  <si>
    <t>Additional Rebate Rate:</t>
  </si>
  <si>
    <t>Rebate Rate ($/ton):</t>
  </si>
  <si>
    <t>HVAC REBATE CATALOG - SUPPLEMENTAL DATA SHEET INPUTS</t>
  </si>
  <si>
    <t>(H)
BASE REBATE 
($/TON)</t>
  </si>
  <si>
    <t>(I)
REBATE RATE
($/TON)
(G + H)</t>
  </si>
  <si>
    <t>REQUESTED REBATE*
(A x I)</t>
  </si>
  <si>
    <r>
      <t>Maximum Chiller Efficiency to Qualify for FOCUS ON ENERGY</t>
    </r>
    <r>
      <rPr>
        <b/>
        <sz val="11"/>
        <color theme="1"/>
        <rFont val="Aptos Narrow"/>
        <family val="2"/>
      </rPr>
      <t>®</t>
    </r>
    <r>
      <rPr>
        <b/>
        <sz val="8.8000000000000007"/>
        <color theme="1"/>
        <rFont val="Calibri"/>
        <family val="2"/>
      </rPr>
      <t xml:space="preserve"> Rebate</t>
    </r>
  </si>
  <si>
    <r>
      <t>(E)
AHRI RATED PART LOAD EFFICIENCY</t>
    </r>
    <r>
      <rPr>
        <sz val="10"/>
        <color theme="0"/>
        <rFont val="Calibri"/>
        <family val="2"/>
      </rPr>
      <t xml:space="preserve"> 
</t>
    </r>
    <r>
      <rPr>
        <b/>
        <sz val="7"/>
        <color theme="0"/>
        <rFont val="Calibri"/>
        <family val="2"/>
      </rPr>
      <t>(IPLV)
(KW/TON, 3 DECIMALS)</t>
    </r>
  </si>
  <si>
    <r>
      <t xml:space="preserve">(D)
MAX PART LOAD (IPLV) 
(kW/TON)
</t>
    </r>
    <r>
      <rPr>
        <b/>
        <sz val="7"/>
        <color theme="0"/>
        <rFont val="Calibri"/>
        <family val="2"/>
      </rPr>
      <t>(FROM MEASURE DESCRIPTION)</t>
    </r>
  </si>
  <si>
    <r>
      <t>BUILDING/SPACE DESIGN 
COOLING LOAD</t>
    </r>
    <r>
      <rPr>
        <b/>
        <sz val="9"/>
        <color theme="0"/>
        <rFont val="Calibri"/>
        <family val="2"/>
      </rPr>
      <t xml:space="preserve"> 
(TONS)</t>
    </r>
  </si>
  <si>
    <r>
      <t>(B)
MAX FULL LOAD (kW/TON)</t>
    </r>
    <r>
      <rPr>
        <sz val="9"/>
        <color theme="0"/>
        <rFont val="Calibri"/>
        <family val="2"/>
      </rPr>
      <t xml:space="preserve">
</t>
    </r>
    <r>
      <rPr>
        <b/>
        <sz val="7"/>
        <color theme="0"/>
        <rFont val="Calibri"/>
        <family val="2"/>
      </rPr>
      <t>(FROM MEASURE DESCRIPTION)</t>
    </r>
  </si>
  <si>
    <t>Existing Building Rebate</t>
  </si>
  <si>
    <t>Base Rebate</t>
  </si>
  <si>
    <t>DX Cooling ≥ 5.42 to &lt; 11.25 tons, Min. Eff. = 16.1 IEER (additional rebate on IEER)</t>
  </si>
  <si>
    <t>Additional rebate is per ton for each 1.0 IEER over baseline</t>
  </si>
  <si>
    <t>DX Cooling ≥ 11.25 to &lt; 20.00 tons, Min. Eff. = 15.4 IEER (additional rebate on IEER)</t>
  </si>
  <si>
    <t>DX Cooling ≥ 20.00 to &lt; 63.33 tons, Min. Eff. = 14.3 IEER (additional rebate on IEER)</t>
  </si>
  <si>
    <t>DX Cooling ≥ 63.33 tons, Min. Eff. = 9.7 EER and 11.4 IEER (additional rebate on IEER)</t>
  </si>
  <si>
    <t>Additional rebate is per ton for each 1.0 EER over baseline</t>
  </si>
  <si>
    <t>Additional Rebate On:</t>
  </si>
  <si>
    <t>Additional Rebate</t>
  </si>
  <si>
    <t>Rebate is per…</t>
  </si>
  <si>
    <t>New Construction Rebate</t>
  </si>
  <si>
    <t>Congratulations! Your project qualifies for a rebate. Please use the HVAC Rebate Catalog available at focusonenergy.com/catalogs to complete your rebate application upon project completion. DX Cooling rebates require use of the Supplemental Data Sheet along with the application, which should be completed using the inputs shown below.</t>
  </si>
  <si>
    <t xml:space="preserve">Congratulations! Your project qualifies for a rebate. Please use the HVAC Rebate Catalog available at focusonenergy.com/catalogs to complete your rebate application upon project completion. </t>
  </si>
  <si>
    <t xml:space="preserve">Congratulations! Your Data Center and Telecom Cooling Equipment project qualifies for a rebate. Please use the HVAC Rebate Catalog available at focusonenergy.com/catalogs to complete your rebate application upon project completion. </t>
  </si>
  <si>
    <t>Successful rebate message</t>
  </si>
  <si>
    <t>Focus on Energy-Existing Building
Rebate per Ton</t>
  </si>
  <si>
    <t>Focus on Energy-New Construction
Rebate per Ton</t>
  </si>
  <si>
    <t>Congratulations! Your chiller qualifies for a rebate. Please use the HVAC Rebate Catalog available at focusonenergy.com/business/rebates to complete your rebate application upon project completion. Chiller rebates require use of the Supplemental Data Sheet along with the application, which should be completed using the inputs shown below.</t>
  </si>
  <si>
    <t xml:space="preserve">Copy the information below onto the supplemental data sheet when submitting your rebate application or submit the Cooling Eligibility Screening Tool itself. </t>
  </si>
  <si>
    <r>
      <t>*FOCUS ON ENERGY</t>
    </r>
    <r>
      <rPr>
        <sz val="9"/>
        <color theme="1"/>
        <rFont val="Aptos Narrow"/>
        <family val="2"/>
      </rPr>
      <t>®</t>
    </r>
    <r>
      <rPr>
        <sz val="9"/>
        <color theme="1"/>
        <rFont val="Calibri"/>
        <family val="2"/>
      </rPr>
      <t xml:space="preserve"> may adjust total rebate based on project caps. See measure requirements and Terms and Conditions for more information.</t>
    </r>
  </si>
  <si>
    <t>Tons (whole number)</t>
  </si>
  <si>
    <t>Updated 1/15/2026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</si>
</sst>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0.000"/>
    <numFmt numFmtId="165" formatCode="&quot;$&quot;#,##0.00"/>
    <numFmt numFmtId="166" formatCode="&quot;$&quot;#,##0"/>
    <numFmt numFmtId="167" formatCode="#,##0.0"/>
    <numFmt numFmtId="168" formatCode="#,##0.000"/>
    <numFmt numFmtId="169" formatCode="0.0"/>
    <numFmt numFmtId="170" formatCode="_(&quot;$&quot;* #,##0.0_);_(&quot;$&quot;* \(#,##0.0\);_(&quot;$&quot;* &quot;-&quot;??_);_(@_)"/>
    <numFmt numFmtId="173" formatCode="0.0000"/>
    <numFmt numFmtId="175" formatCode="0.000000"/>
  </numFmts>
  <fonts count="71" x14ac:knownFonts="1">
    <font>
      <sz val="11"/>
      <color theme="1"/>
      <name val="Calibri"/>
      <family val="2"/>
      <scheme val="minor"/>
    </font>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color indexed="81"/>
      <name val="Tahoma"/>
      <family val="2"/>
    </font>
    <font>
      <sz val="11"/>
      <color rgb="FF000000"/>
      <name val="Arial"/>
      <family val="2"/>
    </font>
    <font>
      <b/>
      <sz val="10"/>
      <color rgb="FF000000"/>
      <name val="Calibri"/>
      <family val="2"/>
    </font>
    <font>
      <sz val="8"/>
      <name val="Calibri"/>
      <family val="2"/>
      <scheme val="minor"/>
    </font>
    <font>
      <sz val="11"/>
      <color theme="1"/>
      <name val="Calibri"/>
      <family val="2"/>
    </font>
    <font>
      <sz val="11"/>
      <color rgb="FFFF0000"/>
      <name val="Calibri"/>
      <family val="2"/>
      <scheme val="minor"/>
    </font>
    <font>
      <sz val="9"/>
      <color theme="1"/>
      <name val="Calibri"/>
      <family val="2"/>
    </font>
    <font>
      <b/>
      <sz val="12"/>
      <color theme="1"/>
      <name val="Calibri"/>
      <family val="2"/>
    </font>
    <font>
      <sz val="9"/>
      <color rgb="FF000000"/>
      <name val="Calibri"/>
      <family val="2"/>
    </font>
    <font>
      <b/>
      <sz val="12"/>
      <color theme="0"/>
      <name val="Calibri"/>
      <family val="2"/>
    </font>
    <font>
      <sz val="11"/>
      <color rgb="FFFF0000"/>
      <name val="Calibri"/>
      <family val="2"/>
    </font>
    <font>
      <i/>
      <sz val="11"/>
      <color theme="1"/>
      <name val="Calibri"/>
      <family val="2"/>
    </font>
    <font>
      <b/>
      <sz val="11"/>
      <color theme="1"/>
      <name val="Calibri"/>
      <family val="2"/>
    </font>
    <font>
      <u/>
      <sz val="10"/>
      <color theme="10"/>
      <name val="Calibri"/>
      <family val="2"/>
    </font>
    <font>
      <i/>
      <sz val="10"/>
      <color theme="1"/>
      <name val="Calibri"/>
      <family val="2"/>
    </font>
    <font>
      <b/>
      <sz val="10"/>
      <color theme="1"/>
      <name val="Calibri"/>
      <family val="2"/>
    </font>
    <font>
      <i/>
      <sz val="9"/>
      <color theme="1"/>
      <name val="Calibri"/>
      <family val="2"/>
    </font>
    <font>
      <sz val="8"/>
      <color theme="1"/>
      <name val="Calibri"/>
      <family val="2"/>
    </font>
    <font>
      <sz val="12"/>
      <color theme="1"/>
      <name val="Calibri"/>
      <family val="2"/>
    </font>
    <font>
      <sz val="11"/>
      <color rgb="FF7AC143"/>
      <name val="Calibri"/>
      <family val="2"/>
    </font>
    <font>
      <sz val="11"/>
      <color theme="0"/>
      <name val="Calibri"/>
      <family val="2"/>
    </font>
    <font>
      <b/>
      <sz val="12"/>
      <color rgb="FFFF0000"/>
      <name val="Calibri"/>
      <family val="2"/>
    </font>
    <font>
      <sz val="10"/>
      <color theme="1"/>
      <name val="Calibri"/>
      <family val="2"/>
    </font>
    <font>
      <b/>
      <sz val="11"/>
      <color theme="0"/>
      <name val="Calibri"/>
      <family val="2"/>
    </font>
    <font>
      <b/>
      <sz val="10"/>
      <color theme="0"/>
      <name val="Calibri"/>
      <family val="2"/>
    </font>
    <font>
      <b/>
      <sz val="9"/>
      <color theme="0"/>
      <name val="Calibri"/>
      <family val="2"/>
    </font>
    <font>
      <sz val="18"/>
      <name val="Calibri"/>
      <family val="2"/>
    </font>
    <font>
      <b/>
      <sz val="7"/>
      <color theme="0"/>
      <name val="Calibri"/>
      <family val="2"/>
    </font>
    <font>
      <sz val="9"/>
      <color theme="0"/>
      <name val="Calibri"/>
      <family val="2"/>
    </font>
    <font>
      <b/>
      <sz val="8"/>
      <color theme="0"/>
      <name val="Calibri"/>
      <family val="2"/>
    </font>
    <font>
      <sz val="10"/>
      <color theme="0"/>
      <name val="Calibri"/>
      <family val="2"/>
    </font>
    <font>
      <b/>
      <sz val="11"/>
      <color theme="1" tint="0.499984740745262"/>
      <name val="Calibri"/>
      <family val="2"/>
    </font>
    <font>
      <b/>
      <sz val="9"/>
      <color theme="1"/>
      <name val="Calibri"/>
      <family val="2"/>
    </font>
    <font>
      <b/>
      <sz val="8"/>
      <color theme="1"/>
      <name val="Calibri"/>
      <family val="2"/>
    </font>
    <font>
      <b/>
      <u/>
      <sz val="11"/>
      <color theme="1"/>
      <name val="Calibri"/>
      <family val="2"/>
    </font>
    <font>
      <sz val="12"/>
      <color theme="1"/>
      <name val="Calibri"/>
      <family val="2"/>
      <scheme val="minor"/>
    </font>
    <font>
      <sz val="12"/>
      <color rgb="FFFF0000"/>
      <name val="Calibri"/>
      <family val="2"/>
      <scheme val="minor"/>
    </font>
    <font>
      <b/>
      <sz val="12"/>
      <color theme="1"/>
      <name val="Calibri"/>
      <family val="2"/>
      <scheme val="minor"/>
    </font>
    <font>
      <sz val="12"/>
      <color rgb="FF000000"/>
      <name val="Calibri"/>
      <family val="2"/>
      <scheme val="minor"/>
    </font>
    <font>
      <b/>
      <sz val="12"/>
      <color theme="0"/>
      <name val="Calibri"/>
      <family val="2"/>
      <scheme val="minor"/>
    </font>
    <font>
      <b/>
      <i/>
      <sz val="12"/>
      <color rgb="FFFF0000"/>
      <name val="Calibri"/>
      <family val="2"/>
      <scheme val="minor"/>
    </font>
    <font>
      <sz val="12"/>
      <color theme="0"/>
      <name val="Calibri"/>
      <family val="2"/>
      <scheme val="minor"/>
    </font>
    <font>
      <i/>
      <sz val="12"/>
      <color theme="1"/>
      <name val="Calibri"/>
      <family val="2"/>
      <scheme val="minor"/>
    </font>
    <font>
      <i/>
      <sz val="12"/>
      <color rgb="FFFF0000"/>
      <name val="Calibri"/>
      <family val="2"/>
      <scheme val="minor"/>
    </font>
    <font>
      <sz val="12"/>
      <name val="Calibri"/>
      <family val="2"/>
      <scheme val="minor"/>
    </font>
    <font>
      <sz val="12"/>
      <color rgb="FF7AC143"/>
      <name val="Calibri"/>
      <family val="2"/>
      <scheme val="minor"/>
    </font>
    <font>
      <b/>
      <sz val="12"/>
      <color rgb="FF7AC143"/>
      <name val="Calibri"/>
      <family val="2"/>
      <scheme val="minor"/>
    </font>
    <font>
      <b/>
      <sz val="12"/>
      <name val="Calibri"/>
      <family val="2"/>
      <scheme val="minor"/>
    </font>
    <font>
      <u/>
      <sz val="12"/>
      <color theme="1"/>
      <name val="Calibri"/>
      <family val="2"/>
      <scheme val="minor"/>
    </font>
    <font>
      <b/>
      <sz val="10"/>
      <color rgb="FF000000"/>
      <name val="Calibri"/>
      <family val="2"/>
      <scheme val="minor"/>
    </font>
    <font>
      <b/>
      <sz val="10"/>
      <color rgb="FFFF0000"/>
      <name val="Calibri"/>
      <family val="2"/>
      <scheme val="minor"/>
    </font>
    <font>
      <sz val="9"/>
      <color theme="1"/>
      <name val="Calibri"/>
      <family val="2"/>
      <scheme val="minor"/>
    </font>
    <font>
      <b/>
      <sz val="16"/>
      <color theme="1"/>
      <name val="Calibri"/>
      <family val="2"/>
      <scheme val="minor"/>
    </font>
    <font>
      <b/>
      <sz val="16"/>
      <color theme="1"/>
      <name val="Calibri"/>
      <family val="2"/>
    </font>
    <font>
      <sz val="16"/>
      <color theme="1"/>
      <name val="Calibri"/>
      <family val="2"/>
    </font>
    <font>
      <sz val="9"/>
      <color rgb="FF000000"/>
      <name val="Aptos Narrow"/>
      <family val="2"/>
    </font>
    <font>
      <sz val="9"/>
      <color theme="1"/>
      <name val="Aptos Narrow"/>
      <family val="2"/>
    </font>
    <font>
      <b/>
      <sz val="10"/>
      <color rgb="FFFF0000"/>
      <name val="Aptos Narrow"/>
      <family val="2"/>
    </font>
    <font>
      <b/>
      <sz val="12"/>
      <color rgb="FF0072BC"/>
      <name val="Calibri"/>
      <family val="2"/>
    </font>
    <font>
      <b/>
      <sz val="12"/>
      <color rgb="FF0072BC"/>
      <name val="Calibri"/>
      <family val="2"/>
      <scheme val="minor"/>
    </font>
    <font>
      <sz val="12"/>
      <color rgb="FF000000"/>
      <name val="Aptos Narrow"/>
      <family val="2"/>
    </font>
    <font>
      <b/>
      <i/>
      <sz val="12"/>
      <color theme="1"/>
      <name val="Calibri"/>
      <family val="2"/>
      <scheme val="minor"/>
    </font>
    <font>
      <b/>
      <i/>
      <sz val="11"/>
      <color theme="1"/>
      <name val="Calibri"/>
      <family val="2"/>
    </font>
    <font>
      <b/>
      <i/>
      <sz val="10"/>
      <color theme="1"/>
      <name val="Calibri"/>
      <family val="2"/>
    </font>
    <font>
      <b/>
      <sz val="11"/>
      <color theme="1"/>
      <name val="Aptos Narrow"/>
      <family val="2"/>
    </font>
    <font>
      <b/>
      <sz val="8.8000000000000007"/>
      <color theme="1"/>
      <name val="Calibri"/>
      <family val="2"/>
    </font>
  </fonts>
  <fills count="10">
    <fill>
      <patternFill patternType="none"/>
    </fill>
    <fill>
      <patternFill patternType="gray125"/>
    </fill>
    <fill>
      <patternFill patternType="solid">
        <fgColor rgb="FFFFFFCC"/>
        <bgColor indexed="64"/>
      </patternFill>
    </fill>
    <fill>
      <patternFill patternType="solid">
        <fgColor rgb="FFFFFF00"/>
        <bgColor indexed="64"/>
      </patternFill>
    </fill>
    <fill>
      <patternFill patternType="solid">
        <fgColor rgb="FFAEC5CD"/>
        <bgColor indexed="64"/>
      </patternFill>
    </fill>
    <fill>
      <patternFill patternType="solid">
        <fgColor theme="0" tint="-0.14999847407452621"/>
        <bgColor indexed="64"/>
      </patternFill>
    </fill>
    <fill>
      <patternFill patternType="solid">
        <fgColor theme="0"/>
        <bgColor indexed="64"/>
      </patternFill>
    </fill>
    <fill>
      <patternFill patternType="solid">
        <fgColor rgb="FFF0F5F7"/>
        <bgColor indexed="64"/>
      </patternFill>
    </fill>
    <fill>
      <patternFill patternType="solid">
        <fgColor rgb="FF0072BC"/>
        <bgColor indexed="64"/>
      </patternFill>
    </fill>
    <fill>
      <patternFill patternType="solid">
        <fgColor rgb="FFF1F0F0"/>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theme="0" tint="-0.499984740745262"/>
      </left>
      <right/>
      <top/>
      <bottom/>
      <diagonal/>
    </border>
    <border>
      <left/>
      <right style="medium">
        <color indexed="64"/>
      </right>
      <top style="thin">
        <color indexed="64"/>
      </top>
      <bottom/>
      <diagonal/>
    </border>
    <border>
      <left/>
      <right/>
      <top/>
      <bottom style="thin">
        <color theme="0"/>
      </bottom>
      <diagonal/>
    </border>
    <border>
      <left/>
      <right/>
      <top style="thin">
        <color theme="0"/>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diagonal/>
    </border>
  </borders>
  <cellStyleXfs count="5">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6" fillId="0" borderId="0"/>
    <xf numFmtId="44" fontId="1" fillId="0" borderId="0" applyFont="0" applyFill="0" applyBorder="0" applyAlignment="0" applyProtection="0"/>
  </cellStyleXfs>
  <cellXfs count="308">
    <xf numFmtId="0" fontId="0" fillId="0" borderId="0" xfId="0"/>
    <xf numFmtId="0" fontId="9" fillId="0" borderId="0" xfId="0" applyFont="1" applyAlignment="1">
      <alignment horizontal="left"/>
    </xf>
    <xf numFmtId="0" fontId="0" fillId="0" borderId="0" xfId="0" applyAlignment="1">
      <alignment horizontal="right"/>
    </xf>
    <xf numFmtId="0" fontId="10" fillId="3" borderId="0" xfId="0" applyFont="1" applyFill="1" applyAlignment="1">
      <alignment horizontal="center"/>
    </xf>
    <xf numFmtId="0" fontId="9" fillId="0" borderId="0" xfId="0" applyFont="1"/>
    <xf numFmtId="0" fontId="9" fillId="0" borderId="0" xfId="0" applyFont="1" applyAlignment="1">
      <alignment wrapText="1"/>
    </xf>
    <xf numFmtId="0" fontId="11" fillId="3" borderId="0" xfId="0" applyFont="1" applyFill="1" applyAlignment="1">
      <alignment horizontal="center"/>
    </xf>
    <xf numFmtId="0" fontId="12" fillId="0" borderId="0" xfId="0" applyFont="1"/>
    <xf numFmtId="0" fontId="11" fillId="0" borderId="0" xfId="0" applyFont="1" applyAlignment="1">
      <alignment vertical="top"/>
    </xf>
    <xf numFmtId="0" fontId="13" fillId="0" borderId="0" xfId="3" applyFont="1" applyAlignment="1">
      <alignment horizontal="center"/>
    </xf>
    <xf numFmtId="0" fontId="9" fillId="2" borderId="0" xfId="0" applyFont="1" applyFill="1"/>
    <xf numFmtId="0" fontId="9" fillId="0" borderId="9" xfId="0" applyFont="1" applyBorder="1"/>
    <xf numFmtId="0" fontId="15" fillId="0" borderId="0" xfId="0" applyFont="1"/>
    <xf numFmtId="0" fontId="9" fillId="0" borderId="16" xfId="0" applyFont="1" applyBorder="1"/>
    <xf numFmtId="0" fontId="9" fillId="0" borderId="9" xfId="0" applyFont="1" applyBorder="1" applyAlignment="1">
      <alignment horizontal="right"/>
    </xf>
    <xf numFmtId="0" fontId="9" fillId="0" borderId="0" xfId="0" applyFont="1" applyAlignment="1">
      <alignment horizontal="right"/>
    </xf>
    <xf numFmtId="0" fontId="9" fillId="0" borderId="4" xfId="0" applyFont="1" applyBorder="1"/>
    <xf numFmtId="0" fontId="9" fillId="2" borderId="2" xfId="0" applyFont="1" applyFill="1" applyBorder="1" applyAlignment="1" applyProtection="1">
      <alignment horizontal="center"/>
      <protection locked="0"/>
    </xf>
    <xf numFmtId="0" fontId="16" fillId="7" borderId="0" xfId="0" applyFont="1" applyFill="1"/>
    <xf numFmtId="0" fontId="9" fillId="7" borderId="0" xfId="0" applyFont="1" applyFill="1"/>
    <xf numFmtId="0" fontId="17" fillId="7" borderId="0" xfId="0" applyFont="1" applyFill="1" applyAlignment="1">
      <alignment horizontal="left"/>
    </xf>
    <xf numFmtId="0" fontId="9" fillId="7" borderId="0" xfId="0" applyFont="1" applyFill="1" applyAlignment="1">
      <alignment wrapText="1"/>
    </xf>
    <xf numFmtId="0" fontId="9" fillId="7" borderId="0" xfId="0" applyFont="1" applyFill="1" applyAlignment="1">
      <alignment horizontal="left"/>
    </xf>
    <xf numFmtId="0" fontId="9" fillId="7" borderId="0" xfId="0" applyFont="1" applyFill="1" applyAlignment="1">
      <alignment horizontal="right"/>
    </xf>
    <xf numFmtId="0" fontId="17" fillId="0" borderId="9" xfId="0" applyFont="1" applyBorder="1"/>
    <xf numFmtId="0" fontId="17" fillId="0" borderId="0" xfId="0" applyFont="1"/>
    <xf numFmtId="0" fontId="17" fillId="0" borderId="0" xfId="0" applyFont="1" applyAlignment="1">
      <alignment horizontal="center"/>
    </xf>
    <xf numFmtId="168" fontId="9" fillId="0" borderId="2" xfId="0" applyNumberFormat="1" applyFont="1" applyBorder="1" applyAlignment="1">
      <alignment horizontal="center"/>
    </xf>
    <xf numFmtId="4" fontId="9" fillId="0" borderId="0" xfId="0" applyNumberFormat="1" applyFont="1" applyAlignment="1">
      <alignment horizontal="center"/>
    </xf>
    <xf numFmtId="0" fontId="15" fillId="3" borderId="0" xfId="0" applyFont="1" applyFill="1" applyAlignment="1">
      <alignment horizontal="center"/>
    </xf>
    <xf numFmtId="0" fontId="16" fillId="0" borderId="0" xfId="0" applyFont="1"/>
    <xf numFmtId="4" fontId="9" fillId="0" borderId="2" xfId="0" applyNumberFormat="1" applyFont="1" applyBorder="1" applyAlignment="1">
      <alignment horizontal="center"/>
    </xf>
    <xf numFmtId="0" fontId="9" fillId="0" borderId="4" xfId="0" applyFont="1" applyBorder="1" applyAlignment="1">
      <alignment horizontal="left"/>
    </xf>
    <xf numFmtId="0" fontId="17" fillId="0" borderId="7" xfId="0" applyFont="1" applyBorder="1"/>
    <xf numFmtId="0" fontId="17" fillId="0" borderId="8" xfId="0" applyFont="1" applyBorder="1"/>
    <xf numFmtId="0" fontId="9" fillId="0" borderId="8" xfId="0" applyFont="1" applyBorder="1"/>
    <xf numFmtId="0" fontId="9" fillId="0" borderId="3" xfId="0" applyFont="1" applyBorder="1"/>
    <xf numFmtId="0" fontId="18" fillId="0" borderId="9" xfId="2" applyFont="1" applyBorder="1" applyAlignment="1" applyProtection="1">
      <alignment vertical="top"/>
    </xf>
    <xf numFmtId="0" fontId="18" fillId="0" borderId="0" xfId="2" applyFont="1" applyBorder="1" applyAlignment="1" applyProtection="1">
      <alignment vertical="top"/>
    </xf>
    <xf numFmtId="0" fontId="9" fillId="0" borderId="0" xfId="0" applyFont="1" applyAlignment="1">
      <alignment vertical="top"/>
    </xf>
    <xf numFmtId="0" fontId="9" fillId="0" borderId="4" xfId="0" applyFont="1" applyBorder="1" applyAlignment="1">
      <alignment vertical="top"/>
    </xf>
    <xf numFmtId="0" fontId="9" fillId="0" borderId="0" xfId="0" applyFont="1" applyAlignment="1">
      <alignment vertical="top" wrapText="1"/>
    </xf>
    <xf numFmtId="0" fontId="9" fillId="0" borderId="9" xfId="0" applyFont="1" applyBorder="1" applyAlignment="1">
      <alignment horizontal="right" vertical="center"/>
    </xf>
    <xf numFmtId="0" fontId="9" fillId="0" borderId="0" xfId="0" applyFont="1" applyAlignment="1">
      <alignment horizontal="right" vertical="center"/>
    </xf>
    <xf numFmtId="0" fontId="19" fillId="0" borderId="0" xfId="0" quotePrefix="1" applyFont="1"/>
    <xf numFmtId="0" fontId="17" fillId="0" borderId="9" xfId="0" applyFont="1" applyBorder="1" applyAlignment="1">
      <alignment horizontal="center"/>
    </xf>
    <xf numFmtId="0" fontId="20" fillId="0" borderId="0" xfId="0" applyFont="1" applyAlignment="1">
      <alignment horizontal="center" wrapText="1"/>
    </xf>
    <xf numFmtId="9" fontId="9" fillId="0" borderId="9" xfId="1" applyFont="1" applyBorder="1" applyAlignment="1" applyProtection="1">
      <alignment horizontal="center"/>
    </xf>
    <xf numFmtId="9" fontId="9" fillId="0" borderId="0" xfId="1" applyFont="1" applyBorder="1" applyAlignment="1" applyProtection="1">
      <alignment horizontal="center"/>
    </xf>
    <xf numFmtId="2" fontId="9" fillId="2" borderId="2" xfId="0" applyNumberFormat="1" applyFont="1" applyFill="1" applyBorder="1" applyAlignment="1" applyProtection="1">
      <alignment horizontal="center"/>
      <protection locked="0"/>
    </xf>
    <xf numFmtId="2" fontId="9" fillId="0" borderId="2" xfId="0" applyNumberFormat="1" applyFont="1" applyBorder="1" applyAlignment="1" applyProtection="1">
      <alignment horizontal="center"/>
      <protection locked="0"/>
    </xf>
    <xf numFmtId="2" fontId="9" fillId="0" borderId="2" xfId="0" applyNumberFormat="1" applyFont="1" applyBorder="1" applyAlignment="1">
      <alignment horizontal="center"/>
    </xf>
    <xf numFmtId="0" fontId="9" fillId="0" borderId="2" xfId="0" applyFont="1" applyBorder="1" applyAlignment="1">
      <alignment horizontal="center"/>
    </xf>
    <xf numFmtId="2" fontId="9" fillId="0" borderId="0" xfId="0" applyNumberFormat="1" applyFont="1"/>
    <xf numFmtId="0" fontId="9" fillId="0" borderId="0" xfId="0" applyFont="1" applyAlignment="1">
      <alignment horizontal="center"/>
    </xf>
    <xf numFmtId="0" fontId="21" fillId="0" borderId="0" xfId="0" applyFont="1" applyAlignment="1">
      <alignment horizontal="right"/>
    </xf>
    <xf numFmtId="0" fontId="20" fillId="0" borderId="0" xfId="0" applyFont="1" applyAlignment="1">
      <alignment horizontal="right"/>
    </xf>
    <xf numFmtId="2" fontId="17" fillId="0" borderId="2" xfId="0" applyNumberFormat="1" applyFont="1" applyBorder="1" applyAlignment="1">
      <alignment horizontal="center"/>
    </xf>
    <xf numFmtId="0" fontId="9" fillId="0" borderId="10" xfId="0" applyFont="1" applyBorder="1"/>
    <xf numFmtId="0" fontId="9" fillId="0" borderId="11" xfId="0" applyFont="1" applyBorder="1"/>
    <xf numFmtId="0" fontId="9" fillId="0" borderId="5" xfId="0" applyFont="1" applyBorder="1"/>
    <xf numFmtId="0" fontId="19" fillId="0" borderId="9" xfId="0" quotePrefix="1" applyFont="1" applyBorder="1"/>
    <xf numFmtId="0" fontId="17" fillId="0" borderId="9" xfId="0" applyFont="1" applyBorder="1" applyAlignment="1">
      <alignment horizontal="right"/>
    </xf>
    <xf numFmtId="0" fontId="17" fillId="0" borderId="0" xfId="0" applyFont="1" applyAlignment="1">
      <alignment horizontal="right"/>
    </xf>
    <xf numFmtId="165" fontId="9" fillId="0" borderId="0" xfId="0" applyNumberFormat="1" applyFont="1"/>
    <xf numFmtId="0" fontId="9" fillId="0" borderId="0" xfId="0" quotePrefix="1" applyFont="1"/>
    <xf numFmtId="0" fontId="20" fillId="0" borderId="6" xfId="0" applyFont="1" applyBorder="1" applyAlignment="1">
      <alignment horizontal="center" wrapText="1"/>
    </xf>
    <xf numFmtId="0" fontId="23" fillId="0" borderId="9" xfId="0" applyFont="1" applyBorder="1" applyAlignment="1">
      <alignment horizontal="right"/>
    </xf>
    <xf numFmtId="0" fontId="23" fillId="0" borderId="0" xfId="0" applyFont="1" applyAlignment="1">
      <alignment horizontal="right"/>
    </xf>
    <xf numFmtId="4" fontId="9" fillId="0" borderId="0" xfId="0" applyNumberFormat="1" applyFont="1"/>
    <xf numFmtId="0" fontId="25" fillId="0" borderId="22" xfId="0" applyFont="1" applyBorder="1"/>
    <xf numFmtId="0" fontId="9" fillId="0" borderId="24" xfId="0" applyFont="1" applyBorder="1"/>
    <xf numFmtId="0" fontId="25" fillId="0" borderId="23" xfId="0" applyFont="1" applyBorder="1"/>
    <xf numFmtId="0" fontId="12" fillId="0" borderId="9" xfId="0" applyFont="1" applyBorder="1" applyAlignment="1">
      <alignment horizontal="right"/>
    </xf>
    <xf numFmtId="0" fontId="9" fillId="0" borderId="25" xfId="0" applyFont="1" applyBorder="1"/>
    <xf numFmtId="0" fontId="9" fillId="0" borderId="26" xfId="0" applyFont="1" applyBorder="1"/>
    <xf numFmtId="0" fontId="27" fillId="0" borderId="4" xfId="0" applyFont="1" applyBorder="1" applyAlignment="1">
      <alignment vertical="center" wrapText="1"/>
    </xf>
    <xf numFmtId="170" fontId="9" fillId="0" borderId="0" xfId="4" applyNumberFormat="1" applyFont="1" applyProtection="1"/>
    <xf numFmtId="0" fontId="27" fillId="0" borderId="0" xfId="0" applyFont="1" applyAlignment="1">
      <alignment vertical="center" wrapText="1"/>
    </xf>
    <xf numFmtId="0" fontId="9" fillId="0" borderId="2" xfId="0" applyFont="1" applyBorder="1" applyAlignment="1">
      <alignment horizontal="center" wrapText="1"/>
    </xf>
    <xf numFmtId="0" fontId="28" fillId="4" borderId="0" xfId="0" applyFont="1" applyFill="1"/>
    <xf numFmtId="0" fontId="28" fillId="4" borderId="17" xfId="0" applyFont="1" applyFill="1" applyBorder="1"/>
    <xf numFmtId="0" fontId="9" fillId="2" borderId="38" xfId="0" applyFont="1" applyFill="1" applyBorder="1" applyAlignment="1" applyProtection="1">
      <alignment horizontal="center" vertical="center" wrapText="1"/>
      <protection locked="0"/>
    </xf>
    <xf numFmtId="0" fontId="17" fillId="0" borderId="0" xfId="0" applyFont="1" applyAlignment="1">
      <alignment vertical="center"/>
    </xf>
    <xf numFmtId="168" fontId="9" fillId="0" borderId="38" xfId="0" applyNumberFormat="1" applyFont="1" applyBorder="1" applyAlignment="1">
      <alignment horizontal="center" vertical="center"/>
    </xf>
    <xf numFmtId="165" fontId="9" fillId="0" borderId="38" xfId="0" applyNumberFormat="1" applyFont="1" applyBorder="1" applyAlignment="1">
      <alignment horizontal="center" vertical="center"/>
    </xf>
    <xf numFmtId="165" fontId="9" fillId="0" borderId="38" xfId="0" applyNumberFormat="1" applyFont="1" applyBorder="1" applyAlignment="1">
      <alignment horizontal="center" vertical="center" wrapText="1"/>
    </xf>
    <xf numFmtId="0" fontId="36" fillId="0" borderId="0" xfId="0" applyFont="1" applyAlignment="1">
      <alignment vertical="center"/>
    </xf>
    <xf numFmtId="165" fontId="9" fillId="0" borderId="0" xfId="0" applyNumberFormat="1" applyFont="1" applyAlignment="1">
      <alignment wrapText="1"/>
    </xf>
    <xf numFmtId="0" fontId="37" fillId="0" borderId="0" xfId="0" applyFont="1" applyAlignment="1">
      <alignment wrapText="1"/>
    </xf>
    <xf numFmtId="0" fontId="38" fillId="0" borderId="2" xfId="0" applyFont="1" applyBorder="1" applyAlignment="1">
      <alignment horizontal="center" wrapText="1"/>
    </xf>
    <xf numFmtId="0" fontId="38" fillId="0" borderId="2" xfId="0" quotePrefix="1" applyFont="1" applyBorder="1" applyAlignment="1">
      <alignment horizontal="center" wrapText="1"/>
    </xf>
    <xf numFmtId="0" fontId="38" fillId="5" borderId="2" xfId="0" applyFont="1" applyFill="1" applyBorder="1" applyAlignment="1">
      <alignment horizontal="left" wrapText="1"/>
    </xf>
    <xf numFmtId="0" fontId="38" fillId="5" borderId="2" xfId="0" applyFont="1" applyFill="1" applyBorder="1" applyAlignment="1">
      <alignment horizontal="center" wrapText="1"/>
    </xf>
    <xf numFmtId="0" fontId="38" fillId="5" borderId="2" xfId="0" quotePrefix="1" applyFont="1" applyFill="1" applyBorder="1" applyAlignment="1">
      <alignment horizontal="center" wrapText="1"/>
    </xf>
    <xf numFmtId="0" fontId="27" fillId="0" borderId="2" xfId="0" applyFont="1" applyBorder="1" applyAlignment="1">
      <alignment horizontal="left"/>
    </xf>
    <xf numFmtId="164" fontId="9" fillId="0" borderId="2" xfId="0" applyNumberFormat="1" applyFont="1" applyBorder="1" applyAlignment="1">
      <alignment horizontal="center"/>
    </xf>
    <xf numFmtId="166" fontId="9" fillId="0" borderId="2" xfId="0" applyNumberFormat="1" applyFont="1" applyBorder="1" applyAlignment="1">
      <alignment horizontal="center"/>
    </xf>
    <xf numFmtId="0" fontId="27" fillId="0" borderId="0" xfId="0" applyFont="1" applyAlignment="1">
      <alignment horizontal="left"/>
    </xf>
    <xf numFmtId="0" fontId="37" fillId="0" borderId="0" xfId="0" applyFont="1" applyAlignment="1">
      <alignment horizontal="center" wrapText="1"/>
    </xf>
    <xf numFmtId="0" fontId="9" fillId="0" borderId="2" xfId="0" applyFont="1" applyBorder="1"/>
    <xf numFmtId="164" fontId="9" fillId="0" borderId="2" xfId="0" applyNumberFormat="1" applyFont="1" applyBorder="1"/>
    <xf numFmtId="0" fontId="39" fillId="0" borderId="0" xfId="0" applyFont="1"/>
    <xf numFmtId="0" fontId="17" fillId="0" borderId="0" xfId="0" applyFont="1" applyAlignment="1">
      <alignment vertical="center" wrapText="1"/>
    </xf>
    <xf numFmtId="0" fontId="9" fillId="0" borderId="0" xfId="0" applyFont="1" applyAlignment="1">
      <alignment vertical="center" wrapText="1"/>
    </xf>
    <xf numFmtId="0" fontId="40" fillId="0" borderId="0" xfId="0" applyFont="1"/>
    <xf numFmtId="0" fontId="40" fillId="0" borderId="0" xfId="0" applyFont="1" applyAlignment="1">
      <alignment wrapText="1"/>
    </xf>
    <xf numFmtId="0" fontId="41" fillId="3" borderId="0" xfId="0" applyFont="1" applyFill="1" applyAlignment="1">
      <alignment horizontal="left"/>
    </xf>
    <xf numFmtId="0" fontId="41" fillId="3" borderId="0" xfId="0" applyFont="1" applyFill="1" applyAlignment="1">
      <alignment horizontal="center"/>
    </xf>
    <xf numFmtId="0" fontId="42" fillId="0" borderId="0" xfId="0" applyFont="1"/>
    <xf numFmtId="0" fontId="40" fillId="0" borderId="0" xfId="0" applyFont="1" applyAlignment="1">
      <alignment horizontal="left"/>
    </xf>
    <xf numFmtId="0" fontId="40" fillId="0" borderId="0" xfId="0" applyFont="1" applyAlignment="1">
      <alignment vertical="top"/>
    </xf>
    <xf numFmtId="0" fontId="43" fillId="0" borderId="0" xfId="3" applyFont="1" applyAlignment="1">
      <alignment horizontal="center"/>
    </xf>
    <xf numFmtId="0" fontId="40" fillId="2" borderId="0" xfId="0" applyFont="1" applyFill="1"/>
    <xf numFmtId="0" fontId="40" fillId="0" borderId="9" xfId="0" applyFont="1" applyBorder="1"/>
    <xf numFmtId="0" fontId="40" fillId="0" borderId="16" xfId="0" applyFont="1" applyBorder="1" applyAlignment="1">
      <alignment horizontal="left"/>
    </xf>
    <xf numFmtId="0" fontId="40" fillId="0" borderId="9" xfId="0" applyFont="1" applyBorder="1" applyAlignment="1">
      <alignment horizontal="right"/>
    </xf>
    <xf numFmtId="0" fontId="40" fillId="0" borderId="0" xfId="0" applyFont="1" applyAlignment="1">
      <alignment horizontal="right"/>
    </xf>
    <xf numFmtId="0" fontId="40" fillId="2" borderId="2" xfId="0" applyFont="1" applyFill="1" applyBorder="1" applyAlignment="1" applyProtection="1">
      <alignment horizontal="center"/>
      <protection locked="0"/>
    </xf>
    <xf numFmtId="0" fontId="40" fillId="0" borderId="4" xfId="0" applyFont="1" applyBorder="1" applyAlignment="1">
      <alignment horizontal="left"/>
    </xf>
    <xf numFmtId="0" fontId="45" fillId="0" borderId="0" xfId="0" applyFont="1" applyAlignment="1">
      <alignment horizontal="left"/>
    </xf>
    <xf numFmtId="4" fontId="40" fillId="2" borderId="2" xfId="0" applyNumberFormat="1" applyFont="1" applyFill="1" applyBorder="1" applyAlignment="1" applyProtection="1">
      <alignment horizontal="center"/>
      <protection locked="0"/>
    </xf>
    <xf numFmtId="4" fontId="46" fillId="0" borderId="0" xfId="0" applyNumberFormat="1" applyFont="1" applyAlignment="1">
      <alignment horizontal="center"/>
    </xf>
    <xf numFmtId="0" fontId="47" fillId="7" borderId="0" xfId="0" applyFont="1" applyFill="1"/>
    <xf numFmtId="0" fontId="40" fillId="7" borderId="0" xfId="0" applyFont="1" applyFill="1"/>
    <xf numFmtId="0" fontId="40" fillId="7" borderId="4" xfId="0" applyFont="1" applyFill="1" applyBorder="1"/>
    <xf numFmtId="167" fontId="40" fillId="2" borderId="2" xfId="0" applyNumberFormat="1" applyFont="1" applyFill="1" applyBorder="1" applyAlignment="1" applyProtection="1">
      <alignment horizontal="center"/>
      <protection locked="0"/>
    </xf>
    <xf numFmtId="0" fontId="45" fillId="0" borderId="0" xfId="0" applyFont="1"/>
    <xf numFmtId="0" fontId="46" fillId="0" borderId="0" xfId="0" applyFont="1"/>
    <xf numFmtId="0" fontId="48" fillId="0" borderId="0" xfId="0" applyFont="1"/>
    <xf numFmtId="0" fontId="40" fillId="0" borderId="4" xfId="0" applyFont="1" applyBorder="1"/>
    <xf numFmtId="1" fontId="40" fillId="2" borderId="2" xfId="0" applyNumberFormat="1" applyFont="1" applyFill="1" applyBorder="1" applyAlignment="1" applyProtection="1">
      <alignment horizontal="center"/>
      <protection locked="0"/>
    </xf>
    <xf numFmtId="0" fontId="41" fillId="0" borderId="0" xfId="0" applyFont="1"/>
    <xf numFmtId="0" fontId="47" fillId="0" borderId="0" xfId="0" applyFont="1"/>
    <xf numFmtId="2" fontId="40" fillId="2" borderId="2" xfId="0" applyNumberFormat="1" applyFont="1" applyFill="1" applyBorder="1" applyAlignment="1" applyProtection="1">
      <alignment horizontal="center"/>
      <protection locked="0"/>
    </xf>
    <xf numFmtId="0" fontId="49" fillId="0" borderId="0" xfId="0" applyFont="1"/>
    <xf numFmtId="4" fontId="40" fillId="0" borderId="2" xfId="0" applyNumberFormat="1" applyFont="1" applyBorder="1" applyAlignment="1">
      <alignment horizontal="center"/>
    </xf>
    <xf numFmtId="168" fontId="40" fillId="0" borderId="0" xfId="0" applyNumberFormat="1" applyFont="1" applyAlignment="1">
      <alignment horizontal="center"/>
    </xf>
    <xf numFmtId="0" fontId="40" fillId="0" borderId="10" xfId="0" applyFont="1" applyBorder="1"/>
    <xf numFmtId="0" fontId="40" fillId="0" borderId="11" xfId="0" applyFont="1" applyBorder="1"/>
    <xf numFmtId="0" fontId="40" fillId="0" borderId="5" xfId="0" applyFont="1" applyBorder="1"/>
    <xf numFmtId="0" fontId="42" fillId="0" borderId="0" xfId="0" applyFont="1" applyAlignment="1">
      <alignment horizontal="center"/>
    </xf>
    <xf numFmtId="0" fontId="42" fillId="0" borderId="6" xfId="0" applyFont="1" applyBorder="1" applyAlignment="1">
      <alignment horizontal="center" wrapText="1"/>
    </xf>
    <xf numFmtId="2" fontId="40" fillId="0" borderId="2" xfId="0" applyNumberFormat="1" applyFont="1" applyBorder="1" applyAlignment="1">
      <alignment horizontal="center"/>
    </xf>
    <xf numFmtId="0" fontId="50" fillId="0" borderId="0" xfId="0" applyFont="1" applyAlignment="1">
      <alignment horizontal="left"/>
    </xf>
    <xf numFmtId="4" fontId="40" fillId="0" borderId="0" xfId="0" applyNumberFormat="1" applyFont="1"/>
    <xf numFmtId="0" fontId="42" fillId="0" borderId="9" xfId="0" applyFont="1" applyBorder="1" applyAlignment="1">
      <alignment horizontal="right"/>
    </xf>
    <xf numFmtId="0" fontId="42" fillId="0" borderId="0" xfId="0" applyFont="1" applyAlignment="1">
      <alignment horizontal="right"/>
    </xf>
    <xf numFmtId="0" fontId="51" fillId="0" borderId="0" xfId="0" applyFont="1"/>
    <xf numFmtId="0" fontId="40" fillId="0" borderId="0" xfId="0" applyFont="1" applyAlignment="1">
      <alignment vertical="center" wrapText="1"/>
    </xf>
    <xf numFmtId="0" fontId="40" fillId="0" borderId="4" xfId="0" applyFont="1" applyBorder="1" applyAlignment="1">
      <alignment vertical="center" wrapText="1"/>
    </xf>
    <xf numFmtId="165" fontId="40" fillId="0" borderId="0" xfId="0" applyNumberFormat="1" applyFont="1" applyAlignment="1">
      <alignment horizontal="center"/>
    </xf>
    <xf numFmtId="165" fontId="40" fillId="0" borderId="0" xfId="0" applyNumberFormat="1" applyFont="1"/>
    <xf numFmtId="0" fontId="40" fillId="0" borderId="0" xfId="0" quotePrefix="1" applyFont="1"/>
    <xf numFmtId="0" fontId="40" fillId="0" borderId="0" xfId="0" applyFont="1" applyAlignment="1">
      <alignment horizontal="center" wrapText="1"/>
    </xf>
    <xf numFmtId="165" fontId="42" fillId="0" borderId="0" xfId="0" applyNumberFormat="1" applyFont="1" applyAlignment="1">
      <alignment horizontal="center"/>
    </xf>
    <xf numFmtId="0" fontId="52" fillId="0" borderId="0" xfId="0" applyFont="1" applyAlignment="1">
      <alignment horizontal="right"/>
    </xf>
    <xf numFmtId="4" fontId="42" fillId="0" borderId="0" xfId="0" applyNumberFormat="1" applyFont="1" applyAlignment="1">
      <alignment horizontal="center"/>
    </xf>
    <xf numFmtId="1" fontId="42" fillId="0" borderId="0" xfId="0" applyNumberFormat="1" applyFont="1" applyAlignment="1">
      <alignment horizontal="center"/>
    </xf>
    <xf numFmtId="0" fontId="40" fillId="0" borderId="0" xfId="0" applyFont="1" applyAlignment="1">
      <alignment horizontal="center"/>
    </xf>
    <xf numFmtId="0" fontId="42" fillId="0" borderId="2" xfId="0" applyFont="1" applyBorder="1" applyAlignment="1">
      <alignment horizontal="center"/>
    </xf>
    <xf numFmtId="0" fontId="40" fillId="0" borderId="2" xfId="0" applyFont="1" applyBorder="1" applyAlignment="1">
      <alignment horizontal="center" wrapText="1"/>
    </xf>
    <xf numFmtId="165" fontId="40" fillId="0" borderId="0" xfId="0" applyNumberFormat="1" applyFont="1" applyAlignment="1">
      <alignment wrapText="1"/>
    </xf>
    <xf numFmtId="3" fontId="40" fillId="2" borderId="2" xfId="0" applyNumberFormat="1" applyFont="1" applyFill="1" applyBorder="1" applyAlignment="1" applyProtection="1">
      <alignment horizontal="center" vertical="center" wrapText="1"/>
      <protection locked="0"/>
    </xf>
    <xf numFmtId="4" fontId="40" fillId="0" borderId="2" xfId="0" applyNumberFormat="1" applyFont="1" applyBorder="1" applyAlignment="1">
      <alignment horizontal="center" vertical="center"/>
    </xf>
    <xf numFmtId="2" fontId="40" fillId="0" borderId="2" xfId="0" applyNumberFormat="1" applyFont="1" applyBorder="1" applyAlignment="1">
      <alignment horizontal="center" vertical="center"/>
    </xf>
    <xf numFmtId="165" fontId="40" fillId="0" borderId="2" xfId="0" applyNumberFormat="1" applyFont="1" applyBorder="1" applyAlignment="1">
      <alignment horizontal="center" vertical="center"/>
    </xf>
    <xf numFmtId="165" fontId="40" fillId="0" borderId="2" xfId="0" applyNumberFormat="1" applyFont="1" applyBorder="1" applyAlignment="1">
      <alignment horizontal="center" vertical="center" wrapText="1"/>
    </xf>
    <xf numFmtId="0" fontId="46" fillId="0" borderId="0" xfId="0" applyFont="1" applyAlignment="1">
      <alignment horizontal="right"/>
    </xf>
    <xf numFmtId="0" fontId="47" fillId="0" borderId="0" xfId="0" applyFont="1" applyAlignment="1">
      <alignment horizontal="center"/>
    </xf>
    <xf numFmtId="0" fontId="42" fillId="0" borderId="0" xfId="0" applyFont="1" applyAlignment="1">
      <alignment horizontal="left"/>
    </xf>
    <xf numFmtId="0" fontId="42" fillId="0" borderId="27" xfId="0" applyFont="1" applyBorder="1" applyAlignment="1">
      <alignment horizontal="center" wrapText="1"/>
    </xf>
    <xf numFmtId="0" fontId="42" fillId="0" borderId="28" xfId="0" applyFont="1" applyBorder="1" applyAlignment="1">
      <alignment horizontal="center" wrapText="1"/>
    </xf>
    <xf numFmtId="0" fontId="40" fillId="0" borderId="2" xfId="0" applyFont="1" applyBorder="1" applyAlignment="1">
      <alignment horizontal="center"/>
    </xf>
    <xf numFmtId="0" fontId="40" fillId="0" borderId="2" xfId="0" applyFont="1" applyBorder="1" applyAlignment="1">
      <alignment horizontal="left"/>
    </xf>
    <xf numFmtId="0" fontId="40" fillId="0" borderId="20" xfId="0" applyFont="1" applyBorder="1" applyAlignment="1">
      <alignment horizontal="left"/>
    </xf>
    <xf numFmtId="1" fontId="40" fillId="0" borderId="2" xfId="0" applyNumberFormat="1" applyFont="1" applyBorder="1" applyAlignment="1">
      <alignment horizontal="center"/>
    </xf>
    <xf numFmtId="164" fontId="40" fillId="0" borderId="2" xfId="0" applyNumberFormat="1" applyFont="1" applyBorder="1" applyAlignment="1">
      <alignment horizontal="center"/>
    </xf>
    <xf numFmtId="166" fontId="40" fillId="0" borderId="2" xfId="0" applyNumberFormat="1" applyFont="1" applyBorder="1" applyAlignment="1">
      <alignment horizontal="center"/>
    </xf>
    <xf numFmtId="169" fontId="40" fillId="0" borderId="2" xfId="0" applyNumberFormat="1" applyFont="1" applyBorder="1" applyAlignment="1">
      <alignment horizontal="center"/>
    </xf>
    <xf numFmtId="2" fontId="40" fillId="0" borderId="32" xfId="0" applyNumberFormat="1" applyFont="1" applyBorder="1" applyAlignment="1">
      <alignment horizontal="center"/>
    </xf>
    <xf numFmtId="169" fontId="40" fillId="0" borderId="32" xfId="0" applyNumberFormat="1" applyFont="1" applyBorder="1" applyAlignment="1">
      <alignment horizontal="center"/>
    </xf>
    <xf numFmtId="0" fontId="42" fillId="0" borderId="2" xfId="0" applyFont="1" applyBorder="1" applyAlignment="1">
      <alignment wrapText="1"/>
    </xf>
    <xf numFmtId="0" fontId="40" fillId="0" borderId="2" xfId="0" applyFont="1" applyBorder="1"/>
    <xf numFmtId="2" fontId="40" fillId="0" borderId="2" xfId="0" applyNumberFormat="1" applyFont="1" applyBorder="1"/>
    <xf numFmtId="0" fontId="53" fillId="0" borderId="0" xfId="0" applyFont="1" applyAlignment="1">
      <alignment horizontal="left"/>
    </xf>
    <xf numFmtId="0" fontId="53" fillId="0" borderId="0" xfId="0" applyFont="1"/>
    <xf numFmtId="4" fontId="40" fillId="0" borderId="0" xfId="0" applyNumberFormat="1" applyFont="1" applyAlignment="1">
      <alignment horizontal="center"/>
    </xf>
    <xf numFmtId="2" fontId="40" fillId="0" borderId="0" xfId="0" applyNumberFormat="1" applyFont="1" applyAlignment="1">
      <alignment horizontal="center"/>
    </xf>
    <xf numFmtId="2" fontId="40" fillId="0" borderId="0" xfId="0" applyNumberFormat="1" applyFont="1" applyAlignment="1" applyProtection="1">
      <alignment horizontal="center"/>
      <protection locked="0"/>
    </xf>
    <xf numFmtId="0" fontId="31" fillId="0" borderId="37" xfId="0" applyFont="1" applyBorder="1" applyAlignment="1">
      <alignment vertical="top"/>
    </xf>
    <xf numFmtId="0" fontId="31" fillId="0" borderId="36" xfId="0" applyFont="1" applyBorder="1" applyAlignment="1">
      <alignment vertical="top"/>
    </xf>
    <xf numFmtId="0" fontId="56" fillId="0" borderId="0" xfId="0" applyFont="1" applyAlignment="1">
      <alignment vertical="top"/>
    </xf>
    <xf numFmtId="0" fontId="57" fillId="0" borderId="0" xfId="0" applyFont="1"/>
    <xf numFmtId="0" fontId="58" fillId="0" borderId="0" xfId="0" applyFont="1"/>
    <xf numFmtId="0" fontId="59" fillId="0" borderId="0" xfId="0" applyFont="1"/>
    <xf numFmtId="0" fontId="59" fillId="0" borderId="0" xfId="0" applyFont="1" applyAlignment="1">
      <alignment wrapText="1"/>
    </xf>
    <xf numFmtId="0" fontId="24" fillId="0" borderId="2" xfId="0" applyFont="1" applyBorder="1" applyAlignment="1">
      <alignment horizontal="center" wrapText="1"/>
    </xf>
    <xf numFmtId="0" fontId="29" fillId="8" borderId="0" xfId="0" applyFont="1" applyFill="1" applyAlignment="1">
      <alignment horizontal="center"/>
    </xf>
    <xf numFmtId="0" fontId="29" fillId="8" borderId="0" xfId="0" applyFont="1" applyFill="1" applyAlignment="1">
      <alignment horizontal="center" wrapText="1"/>
    </xf>
    <xf numFmtId="0" fontId="29" fillId="8" borderId="0" xfId="0" quotePrefix="1" applyFont="1" applyFill="1" applyAlignment="1">
      <alignment horizontal="center" wrapText="1"/>
    </xf>
    <xf numFmtId="0" fontId="63" fillId="6" borderId="0" xfId="0" applyFont="1" applyFill="1"/>
    <xf numFmtId="0" fontId="63" fillId="6" borderId="0" xfId="0" applyFont="1" applyFill="1" applyAlignment="1">
      <alignment horizontal="right"/>
    </xf>
    <xf numFmtId="0" fontId="44" fillId="8" borderId="0" xfId="0" applyFont="1" applyFill="1" applyAlignment="1">
      <alignment horizontal="center" wrapText="1"/>
    </xf>
    <xf numFmtId="0" fontId="44" fillId="8" borderId="0" xfId="0" quotePrefix="1" applyFont="1" applyFill="1" applyAlignment="1">
      <alignment horizontal="center" wrapText="1"/>
    </xf>
    <xf numFmtId="0" fontId="64" fillId="0" borderId="0" xfId="0" applyFont="1" applyAlignment="1">
      <alignment vertical="top"/>
    </xf>
    <xf numFmtId="0" fontId="64" fillId="0" borderId="0" xfId="0" applyFont="1" applyAlignment="1">
      <alignment horizontal="right" vertical="top"/>
    </xf>
    <xf numFmtId="0" fontId="44" fillId="8" borderId="6" xfId="0" applyFont="1" applyFill="1" applyBorder="1" applyAlignment="1">
      <alignment horizontal="center" wrapText="1"/>
    </xf>
    <xf numFmtId="0" fontId="44" fillId="8" borderId="6" xfId="0" quotePrefix="1" applyFont="1" applyFill="1" applyBorder="1" applyAlignment="1">
      <alignment horizontal="center" wrapText="1"/>
    </xf>
    <xf numFmtId="0" fontId="64" fillId="0" borderId="0" xfId="0" applyFont="1"/>
    <xf numFmtId="0" fontId="64" fillId="0" borderId="0" xfId="0" applyFont="1" applyAlignment="1">
      <alignment horizontal="right"/>
    </xf>
    <xf numFmtId="0" fontId="66" fillId="9" borderId="2" xfId="0" applyFont="1" applyFill="1" applyBorder="1" applyAlignment="1">
      <alignment horizontal="center" vertical="center" wrapText="1"/>
    </xf>
    <xf numFmtId="0" fontId="66" fillId="9" borderId="2" xfId="0" applyFont="1" applyFill="1" applyBorder="1" applyAlignment="1">
      <alignment horizontal="center" vertical="center"/>
    </xf>
    <xf numFmtId="2" fontId="66" fillId="9" borderId="2" xfId="0" applyNumberFormat="1" applyFont="1" applyFill="1" applyBorder="1" applyAlignment="1">
      <alignment horizontal="center" vertical="center"/>
    </xf>
    <xf numFmtId="166" fontId="66" fillId="9" borderId="2" xfId="0" applyNumberFormat="1" applyFont="1" applyFill="1" applyBorder="1" applyAlignment="1">
      <alignment horizontal="center" vertical="center"/>
    </xf>
    <xf numFmtId="165" fontId="66" fillId="9" borderId="2" xfId="0" applyNumberFormat="1" applyFont="1" applyFill="1" applyBorder="1" applyAlignment="1">
      <alignment horizontal="center" vertical="center"/>
    </xf>
    <xf numFmtId="0" fontId="68" fillId="9" borderId="38" xfId="0" applyFont="1" applyFill="1" applyBorder="1" applyAlignment="1">
      <alignment horizontal="center" vertical="center" wrapText="1"/>
    </xf>
    <xf numFmtId="168" fontId="68" fillId="9" borderId="38" xfId="0" applyNumberFormat="1" applyFont="1" applyFill="1" applyBorder="1" applyAlignment="1">
      <alignment horizontal="center" vertical="center"/>
    </xf>
    <xf numFmtId="165" fontId="68" fillId="9" borderId="38" xfId="0" applyNumberFormat="1" applyFont="1" applyFill="1" applyBorder="1" applyAlignment="1">
      <alignment horizontal="center" vertical="center"/>
    </xf>
    <xf numFmtId="165" fontId="68" fillId="9" borderId="38" xfId="0" applyNumberFormat="1" applyFont="1" applyFill="1" applyBorder="1" applyAlignment="1">
      <alignment horizontal="center" vertical="center" wrapText="1"/>
    </xf>
    <xf numFmtId="0" fontId="12" fillId="0" borderId="0" xfId="0" applyFont="1" applyAlignment="1">
      <alignment horizontal="right" vertical="center"/>
    </xf>
    <xf numFmtId="164" fontId="23" fillId="0" borderId="2" xfId="0" applyNumberFormat="1" applyFont="1" applyBorder="1" applyAlignment="1">
      <alignment horizontal="center" vertical="center"/>
    </xf>
    <xf numFmtId="164" fontId="23" fillId="0" borderId="29" xfId="0" applyNumberFormat="1" applyFont="1" applyBorder="1" applyAlignment="1">
      <alignment horizontal="center" vertical="center"/>
    </xf>
    <xf numFmtId="0" fontId="24" fillId="0" borderId="2" xfId="0" applyFont="1" applyBorder="1" applyAlignment="1">
      <alignment horizontal="center" vertical="center" wrapText="1"/>
    </xf>
    <xf numFmtId="168" fontId="23" fillId="0" borderId="2" xfId="0" applyNumberFormat="1" applyFont="1" applyBorder="1" applyAlignment="1">
      <alignment horizontal="center" vertical="center"/>
    </xf>
    <xf numFmtId="0" fontId="7" fillId="0" borderId="0" xfId="3" applyFont="1" applyAlignment="1">
      <alignment horizontal="left" wrapText="1"/>
    </xf>
    <xf numFmtId="0" fontId="13" fillId="2" borderId="15" xfId="3" applyFont="1" applyFill="1" applyBorder="1" applyAlignment="1">
      <alignment horizontal="left"/>
    </xf>
    <xf numFmtId="0" fontId="13" fillId="2" borderId="0" xfId="3" applyFont="1" applyFill="1" applyAlignment="1">
      <alignment horizontal="left"/>
    </xf>
    <xf numFmtId="0" fontId="29" fillId="4" borderId="18" xfId="0" applyFont="1" applyFill="1" applyBorder="1" applyAlignment="1">
      <alignment horizontal="center" wrapText="1"/>
    </xf>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26" fillId="0" borderId="25"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0" xfId="0" applyFont="1" applyAlignment="1">
      <alignment horizontal="center" vertical="center" wrapText="1"/>
    </xf>
    <xf numFmtId="167" fontId="17" fillId="0" borderId="25" xfId="0" applyNumberFormat="1" applyFont="1" applyBorder="1" applyAlignment="1">
      <alignment horizontal="center"/>
    </xf>
    <xf numFmtId="167" fontId="17" fillId="0" borderId="26" xfId="0" applyNumberFormat="1" applyFont="1" applyBorder="1" applyAlignment="1">
      <alignment horizontal="center"/>
    </xf>
    <xf numFmtId="165" fontId="17" fillId="0" borderId="1" xfId="0" applyNumberFormat="1" applyFont="1" applyBorder="1" applyAlignment="1">
      <alignment horizontal="center"/>
    </xf>
    <xf numFmtId="0" fontId="37" fillId="0" borderId="0" xfId="0" applyFont="1" applyAlignment="1">
      <alignment horizontal="center" wrapText="1"/>
    </xf>
    <xf numFmtId="0" fontId="37" fillId="0" borderId="6" xfId="0" applyFont="1" applyBorder="1" applyAlignment="1">
      <alignment horizontal="center" wrapText="1"/>
    </xf>
    <xf numFmtId="0" fontId="25" fillId="4" borderId="17" xfId="0" applyFont="1" applyFill="1" applyBorder="1" applyAlignment="1">
      <alignment horizontal="center"/>
    </xf>
    <xf numFmtId="0" fontId="63" fillId="6" borderId="0" xfId="0" applyFont="1" applyFill="1" applyAlignment="1">
      <alignment horizontal="left"/>
    </xf>
    <xf numFmtId="0" fontId="9" fillId="2" borderId="38" xfId="0" applyFont="1" applyFill="1" applyBorder="1" applyAlignment="1" applyProtection="1">
      <alignment horizontal="center" vertical="center" wrapText="1"/>
      <protection locked="0"/>
    </xf>
    <xf numFmtId="0" fontId="29" fillId="8" borderId="39" xfId="0" applyFont="1" applyFill="1" applyBorder="1" applyAlignment="1">
      <alignment horizontal="center" wrapText="1"/>
    </xf>
    <xf numFmtId="3" fontId="67" fillId="9" borderId="38" xfId="0" applyNumberFormat="1" applyFont="1" applyFill="1" applyBorder="1" applyAlignment="1">
      <alignment horizontal="center" vertical="center"/>
    </xf>
    <xf numFmtId="168" fontId="9" fillId="2" borderId="38" xfId="0" applyNumberFormat="1" applyFont="1" applyFill="1" applyBorder="1" applyAlignment="1" applyProtection="1">
      <alignment horizontal="center" vertical="center"/>
      <protection locked="0"/>
    </xf>
    <xf numFmtId="165" fontId="67" fillId="9" borderId="38" xfId="0" applyNumberFormat="1" applyFont="1" applyFill="1" applyBorder="1" applyAlignment="1">
      <alignment horizontal="center" vertical="center"/>
    </xf>
    <xf numFmtId="2" fontId="9" fillId="2" borderId="38" xfId="0" applyNumberFormat="1" applyFont="1" applyFill="1" applyBorder="1" applyAlignment="1" applyProtection="1">
      <alignment horizontal="center" vertical="center"/>
      <protection locked="0"/>
    </xf>
    <xf numFmtId="0" fontId="29" fillId="8" borderId="39" xfId="0" applyFont="1" applyFill="1" applyBorder="1" applyAlignment="1">
      <alignment horizontal="center"/>
    </xf>
    <xf numFmtId="0" fontId="67" fillId="9" borderId="38" xfId="0" applyFont="1" applyFill="1" applyBorder="1" applyAlignment="1">
      <alignment horizontal="center" vertical="center" wrapText="1"/>
    </xf>
    <xf numFmtId="0" fontId="28" fillId="4" borderId="0" xfId="0" applyFont="1" applyFill="1" applyAlignment="1">
      <alignment horizontal="center"/>
    </xf>
    <xf numFmtId="0" fontId="14" fillId="8" borderId="12" xfId="0" applyFont="1" applyFill="1" applyBorder="1" applyAlignment="1">
      <alignment horizontal="center"/>
    </xf>
    <xf numFmtId="0" fontId="14" fillId="8" borderId="13" xfId="0" applyFont="1" applyFill="1" applyBorder="1" applyAlignment="1">
      <alignment horizontal="center"/>
    </xf>
    <xf numFmtId="0" fontId="14" fillId="8" borderId="14" xfId="0" applyFont="1" applyFill="1" applyBorder="1" applyAlignment="1">
      <alignment horizontal="center"/>
    </xf>
    <xf numFmtId="0" fontId="27" fillId="0" borderId="0" xfId="0" applyFont="1" applyAlignment="1">
      <alignment vertical="center" wrapText="1"/>
    </xf>
    <xf numFmtId="0" fontId="9" fillId="2" borderId="38" xfId="0" applyFont="1" applyFill="1" applyBorder="1" applyAlignment="1" applyProtection="1">
      <alignment horizontal="center" vertical="center"/>
      <protection locked="0"/>
    </xf>
    <xf numFmtId="2" fontId="9" fillId="2" borderId="38" xfId="0" applyNumberFormat="1" applyFont="1" applyFill="1" applyBorder="1" applyAlignment="1" applyProtection="1">
      <alignment horizontal="center" vertical="center" wrapText="1"/>
      <protection locked="0"/>
    </xf>
    <xf numFmtId="0" fontId="9" fillId="2" borderId="2" xfId="0" applyFont="1" applyFill="1" applyBorder="1" applyProtection="1">
      <protection locked="0"/>
    </xf>
    <xf numFmtId="2" fontId="9" fillId="2" borderId="2" xfId="0" applyNumberFormat="1" applyFont="1" applyFill="1" applyBorder="1" applyAlignment="1" applyProtection="1">
      <alignment horizontal="left"/>
      <protection locked="0"/>
    </xf>
    <xf numFmtId="0" fontId="17" fillId="0" borderId="19" xfId="0" applyFont="1" applyBorder="1" applyAlignment="1">
      <alignment horizontal="center"/>
    </xf>
    <xf numFmtId="0" fontId="17" fillId="0" borderId="20" xfId="0" applyFont="1" applyBorder="1" applyAlignment="1">
      <alignment horizontal="center"/>
    </xf>
    <xf numFmtId="0" fontId="37" fillId="0" borderId="2" xfId="0" applyFont="1" applyBorder="1" applyAlignment="1">
      <alignment horizontal="center" wrapText="1"/>
    </xf>
    <xf numFmtId="0" fontId="17" fillId="7" borderId="0" xfId="0" applyFont="1" applyFill="1" applyAlignment="1">
      <alignment horizontal="right" wrapText="1"/>
    </xf>
    <xf numFmtId="0" fontId="38" fillId="0" borderId="22" xfId="0" applyFont="1" applyBorder="1" applyAlignment="1">
      <alignment horizontal="center" wrapText="1"/>
    </xf>
    <xf numFmtId="0" fontId="38" fillId="0" borderId="24" xfId="0" applyFont="1" applyBorder="1" applyAlignment="1">
      <alignment horizontal="center" wrapText="1"/>
    </xf>
    <xf numFmtId="0" fontId="38" fillId="0" borderId="30" xfId="0" applyFont="1" applyBorder="1" applyAlignment="1">
      <alignment horizontal="center" wrapText="1"/>
    </xf>
    <xf numFmtId="0" fontId="38" fillId="0" borderId="31" xfId="0" applyFont="1" applyBorder="1" applyAlignment="1">
      <alignment horizontal="center" wrapText="1"/>
    </xf>
    <xf numFmtId="165" fontId="67" fillId="9" borderId="38" xfId="0" applyNumberFormat="1" applyFont="1" applyFill="1" applyBorder="1" applyAlignment="1">
      <alignment horizontal="center" vertical="center" wrapText="1"/>
    </xf>
    <xf numFmtId="0" fontId="20" fillId="0" borderId="19" xfId="0" applyFont="1" applyBorder="1" applyAlignment="1">
      <alignment horizontal="center" wrapText="1"/>
    </xf>
    <xf numFmtId="0" fontId="20" fillId="0" borderId="21" xfId="0" applyFont="1" applyBorder="1" applyAlignment="1">
      <alignment horizontal="center" wrapText="1"/>
    </xf>
    <xf numFmtId="0" fontId="20" fillId="0" borderId="20" xfId="0" applyFont="1" applyBorder="1" applyAlignment="1">
      <alignment horizontal="center" wrapText="1"/>
    </xf>
    <xf numFmtId="0" fontId="9" fillId="2" borderId="2" xfId="0" applyFont="1" applyFill="1" applyBorder="1" applyAlignment="1" applyProtection="1">
      <alignment horizontal="center"/>
      <protection locked="0"/>
    </xf>
    <xf numFmtId="164" fontId="9" fillId="2" borderId="2" xfId="0" applyNumberFormat="1" applyFont="1" applyFill="1" applyBorder="1" applyAlignment="1" applyProtection="1">
      <alignment horizontal="center"/>
      <protection locked="0"/>
    </xf>
    <xf numFmtId="0" fontId="17" fillId="0" borderId="2" xfId="0" applyFont="1" applyBorder="1" applyAlignment="1">
      <alignment horizontal="center"/>
    </xf>
    <xf numFmtId="168" fontId="67" fillId="9" borderId="38" xfId="0" applyNumberFormat="1" applyFont="1" applyFill="1" applyBorder="1" applyAlignment="1">
      <alignment horizontal="center" vertical="center"/>
    </xf>
    <xf numFmtId="0" fontId="66" fillId="9" borderId="19" xfId="0" applyFont="1" applyFill="1" applyBorder="1" applyAlignment="1">
      <alignment horizontal="center" vertical="center" wrapText="1"/>
    </xf>
    <xf numFmtId="0" fontId="66" fillId="9" borderId="21" xfId="0" applyFont="1" applyFill="1" applyBorder="1" applyAlignment="1">
      <alignment horizontal="center" vertical="center" wrapText="1"/>
    </xf>
    <xf numFmtId="0" fontId="66" fillId="9" borderId="20" xfId="0" applyFont="1" applyFill="1" applyBorder="1" applyAlignment="1">
      <alignment horizontal="center" vertical="center" wrapText="1"/>
    </xf>
    <xf numFmtId="9" fontId="66" fillId="9" borderId="19" xfId="0" applyNumberFormat="1" applyFont="1" applyFill="1" applyBorder="1" applyAlignment="1">
      <alignment horizontal="center" vertical="center" wrapText="1"/>
    </xf>
    <xf numFmtId="0" fontId="40" fillId="2" borderId="19" xfId="0" applyFont="1" applyFill="1" applyBorder="1" applyAlignment="1" applyProtection="1">
      <alignment horizontal="center" vertical="center" wrapText="1"/>
      <protection locked="0"/>
    </xf>
    <xf numFmtId="0" fontId="40" fillId="2" borderId="21" xfId="0" applyFont="1" applyFill="1" applyBorder="1" applyAlignment="1" applyProtection="1">
      <alignment horizontal="center" vertical="center" wrapText="1"/>
      <protection locked="0"/>
    </xf>
    <xf numFmtId="0" fontId="40" fillId="2" borderId="20" xfId="0" applyFont="1" applyFill="1" applyBorder="1" applyAlignment="1" applyProtection="1">
      <alignment horizontal="center" vertical="center" wrapText="1"/>
      <protection locked="0"/>
    </xf>
    <xf numFmtId="10" fontId="40" fillId="2" borderId="19" xfId="0" applyNumberFormat="1" applyFont="1" applyFill="1" applyBorder="1" applyAlignment="1" applyProtection="1">
      <alignment horizontal="center" vertical="center" wrapText="1"/>
      <protection locked="0"/>
    </xf>
    <xf numFmtId="10" fontId="40" fillId="2" borderId="21" xfId="0" applyNumberFormat="1" applyFont="1" applyFill="1" applyBorder="1" applyAlignment="1" applyProtection="1">
      <alignment horizontal="center" vertical="center" wrapText="1"/>
      <protection locked="0"/>
    </xf>
    <xf numFmtId="10" fontId="40" fillId="2" borderId="20" xfId="0" applyNumberFormat="1" applyFont="1" applyFill="1" applyBorder="1" applyAlignment="1" applyProtection="1">
      <alignment horizontal="center" vertical="center" wrapText="1"/>
      <protection locked="0"/>
    </xf>
    <xf numFmtId="0" fontId="40" fillId="0" borderId="0" xfId="0" applyFont="1" applyAlignment="1">
      <alignment horizontal="left"/>
    </xf>
    <xf numFmtId="0" fontId="40" fillId="0" borderId="4" xfId="0" applyFont="1" applyBorder="1" applyAlignment="1">
      <alignment horizontal="left"/>
    </xf>
    <xf numFmtId="0" fontId="64" fillId="0" borderId="0" xfId="0" applyFont="1" applyAlignment="1">
      <alignment horizontal="left" vertical="top" wrapText="1"/>
    </xf>
    <xf numFmtId="0" fontId="64" fillId="0" borderId="0" xfId="0" applyFont="1" applyAlignment="1">
      <alignment horizontal="left" vertical="top"/>
    </xf>
    <xf numFmtId="0" fontId="44" fillId="8" borderId="0" xfId="0" applyFont="1" applyFill="1" applyAlignment="1">
      <alignment horizontal="center" wrapText="1"/>
    </xf>
    <xf numFmtId="0" fontId="42" fillId="0" borderId="33" xfId="0" applyFont="1" applyBorder="1" applyAlignment="1">
      <alignment horizontal="center" wrapText="1"/>
    </xf>
    <xf numFmtId="0" fontId="42" fillId="0" borderId="34" xfId="0" applyFont="1" applyBorder="1" applyAlignment="1">
      <alignment horizontal="center" wrapText="1"/>
    </xf>
    <xf numFmtId="0" fontId="42" fillId="0" borderId="35" xfId="0" applyFont="1" applyBorder="1" applyAlignment="1">
      <alignment horizontal="center" wrapText="1"/>
    </xf>
    <xf numFmtId="0" fontId="54" fillId="0" borderId="0" xfId="3" applyFont="1" applyAlignment="1">
      <alignment horizontal="left" vertical="top" wrapText="1"/>
    </xf>
    <xf numFmtId="0" fontId="42" fillId="0" borderId="2" xfId="0" applyFont="1" applyBorder="1" applyAlignment="1">
      <alignment horizontal="center"/>
    </xf>
    <xf numFmtId="0" fontId="42" fillId="0" borderId="2" xfId="0" applyFont="1" applyBorder="1" applyAlignment="1">
      <alignment horizontal="center" wrapText="1"/>
    </xf>
    <xf numFmtId="0" fontId="43" fillId="2" borderId="15" xfId="3" applyFont="1" applyFill="1" applyBorder="1" applyAlignment="1">
      <alignment horizontal="left"/>
    </xf>
    <xf numFmtId="0" fontId="43" fillId="2" borderId="0" xfId="3" applyFont="1" applyFill="1" applyAlignment="1">
      <alignment horizontal="left"/>
    </xf>
    <xf numFmtId="0" fontId="44" fillId="8" borderId="12" xfId="0" applyFont="1" applyFill="1" applyBorder="1" applyAlignment="1">
      <alignment horizontal="center"/>
    </xf>
    <xf numFmtId="0" fontId="44" fillId="8" borderId="13" xfId="0" applyFont="1" applyFill="1" applyBorder="1" applyAlignment="1">
      <alignment horizontal="center"/>
    </xf>
    <xf numFmtId="0" fontId="44" fillId="8" borderId="14" xfId="0" applyFont="1" applyFill="1" applyBorder="1" applyAlignment="1">
      <alignment horizontal="center"/>
    </xf>
    <xf numFmtId="0" fontId="64" fillId="0" borderId="0" xfId="0" applyFont="1" applyAlignment="1">
      <alignment horizontal="left"/>
    </xf>
    <xf numFmtId="0" fontId="40" fillId="0" borderId="0" xfId="0" applyFont="1" applyAlignment="1">
      <alignment vertical="center" wrapText="1"/>
    </xf>
    <xf numFmtId="0" fontId="40" fillId="0" borderId="4" xfId="0" applyFont="1" applyBorder="1" applyAlignment="1">
      <alignment vertical="center" wrapText="1"/>
    </xf>
    <xf numFmtId="173" fontId="17" fillId="0" borderId="25" xfId="0" applyNumberFormat="1" applyFont="1" applyBorder="1" applyAlignment="1">
      <alignment horizontal="center"/>
    </xf>
    <xf numFmtId="173" fontId="17" fillId="0" borderId="26" xfId="0" applyNumberFormat="1" applyFont="1" applyBorder="1" applyAlignment="1">
      <alignment horizontal="center"/>
    </xf>
    <xf numFmtId="0" fontId="9" fillId="0" borderId="0" xfId="0" applyNumberFormat="1" applyFont="1" applyAlignment="1">
      <alignment wrapText="1"/>
    </xf>
    <xf numFmtId="175" fontId="9" fillId="0" borderId="0" xfId="0" applyNumberFormat="1" applyFont="1" applyAlignment="1">
      <alignment wrapText="1"/>
    </xf>
  </cellXfs>
  <cellStyles count="5">
    <cellStyle name="Currency" xfId="4" builtinId="4"/>
    <cellStyle name="Hyperlink" xfId="2" builtinId="8"/>
    <cellStyle name="Normal" xfId="0" builtinId="0"/>
    <cellStyle name="Normal 2" xfId="3" xr:uid="{00000000-0005-0000-0000-000002000000}"/>
    <cellStyle name="Percent" xfId="1" builtinId="5"/>
  </cellStyles>
  <dxfs count="53">
    <dxf>
      <font>
        <color theme="0"/>
      </font>
      <border>
        <left style="hair">
          <color theme="0"/>
        </left>
        <right style="hair">
          <color theme="0"/>
        </right>
        <top style="hair">
          <color theme="0"/>
        </top>
        <bottom style="hair">
          <color theme="0"/>
        </bottom>
        <vertical/>
        <horizontal/>
      </border>
    </dxf>
    <dxf>
      <fill>
        <patternFill>
          <bgColor theme="1"/>
        </patternFill>
      </fill>
    </dxf>
    <dxf>
      <fill>
        <patternFill patternType="none">
          <bgColor auto="1"/>
        </patternFill>
      </fill>
    </dxf>
    <dxf>
      <fill>
        <patternFill patternType="none">
          <bgColor auto="1"/>
        </patternFill>
      </fill>
    </dxf>
    <dxf>
      <fill>
        <patternFill>
          <bgColor theme="1"/>
        </patternFill>
      </fill>
    </dxf>
    <dxf>
      <font>
        <color rgb="FFFF0000"/>
      </font>
    </dxf>
    <dxf>
      <font>
        <color rgb="FFFF0000"/>
      </font>
    </dxf>
    <dxf>
      <font>
        <color theme="0"/>
      </font>
      <border>
        <left style="hair">
          <color theme="0"/>
        </left>
        <right style="hair">
          <color theme="0"/>
        </right>
        <top style="hair">
          <color theme="0"/>
        </top>
        <bottom style="hair">
          <color theme="0"/>
        </bottom>
        <vertical/>
        <horizontal/>
      </border>
    </dxf>
    <dxf>
      <fill>
        <patternFill>
          <bgColor theme="1"/>
        </patternFill>
      </fill>
    </dxf>
    <dxf>
      <fill>
        <patternFill patternType="none">
          <bgColor auto="1"/>
        </patternFill>
      </fill>
    </dxf>
    <dxf>
      <fill>
        <patternFill patternType="none">
          <bgColor auto="1"/>
        </patternFill>
      </fill>
    </dxf>
    <dxf>
      <fill>
        <patternFill>
          <bgColor theme="1"/>
        </patternFill>
      </fill>
    </dxf>
    <dxf>
      <fill>
        <patternFill>
          <bgColor theme="1"/>
        </patternFill>
      </fill>
    </dxf>
    <dxf>
      <fill>
        <patternFill>
          <bgColor theme="1"/>
        </patternFill>
      </fill>
    </dxf>
    <dxf>
      <font>
        <color rgb="FFFF0000"/>
      </font>
    </dxf>
    <dxf>
      <fill>
        <patternFill>
          <bgColor theme="1"/>
        </patternFill>
      </fill>
    </dxf>
    <dxf>
      <font>
        <color theme="0" tint="-0.34998626667073579"/>
      </font>
    </dxf>
    <dxf>
      <font>
        <color theme="0" tint="-0.499984740745262"/>
      </font>
    </dxf>
    <dxf>
      <font>
        <color theme="0" tint="-0.34998626667073579"/>
      </font>
    </dxf>
    <dxf>
      <font>
        <color theme="0" tint="-0.34998626667073579"/>
      </font>
    </dxf>
    <dxf>
      <font>
        <color theme="0" tint="-0.34998626667073579"/>
      </font>
    </dxf>
    <dxf>
      <font>
        <color theme="0" tint="-0.34998626667073579"/>
      </font>
      <fill>
        <patternFill patternType="none">
          <bgColor auto="1"/>
        </patternFill>
      </fill>
    </dxf>
    <dxf>
      <font>
        <color theme="0" tint="-0.34998626667073579"/>
      </font>
    </dxf>
    <dxf>
      <font>
        <color theme="0" tint="-0.499984740745262"/>
      </font>
    </dxf>
    <dxf>
      <fill>
        <patternFill>
          <bgColor theme="1"/>
        </patternFill>
      </fill>
    </dxf>
    <dxf>
      <fill>
        <patternFill>
          <bgColor theme="1"/>
        </patternFill>
      </fill>
    </dxf>
    <dxf>
      <font>
        <color theme="0"/>
      </font>
      <border>
        <left style="hair">
          <color theme="0"/>
        </left>
        <right style="hair">
          <color theme="0"/>
        </right>
        <top style="hair">
          <color theme="0"/>
        </top>
        <bottom style="hair">
          <color theme="0"/>
        </bottom>
        <vertical/>
        <horizontal/>
      </border>
    </dxf>
    <dxf>
      <fill>
        <patternFill patternType="none">
          <bgColor auto="1"/>
        </patternFill>
      </fill>
    </dxf>
    <dxf>
      <fill>
        <patternFill>
          <bgColor theme="1"/>
        </patternFill>
      </fill>
    </dxf>
    <dxf>
      <font>
        <color theme="0"/>
      </font>
      <border>
        <left style="hair">
          <color theme="0"/>
        </left>
        <right style="hair">
          <color theme="0"/>
        </right>
        <top style="hair">
          <color theme="0"/>
        </top>
        <bottom style="hair">
          <color theme="0"/>
        </bottom>
        <vertical/>
        <horizontal/>
      </border>
    </dxf>
    <dxf>
      <fill>
        <patternFill>
          <bgColor theme="1"/>
        </patternFill>
      </fill>
    </dxf>
    <dxf>
      <fill>
        <patternFill patternType="none">
          <bgColor auto="1"/>
        </patternFill>
      </fill>
    </dxf>
    <dxf>
      <font>
        <color theme="0"/>
      </font>
    </dxf>
    <dxf>
      <font>
        <color theme="0"/>
      </font>
    </dxf>
    <dxf>
      <font>
        <color theme="0"/>
      </font>
    </dxf>
    <dxf>
      <fill>
        <patternFill patternType="none">
          <bgColor auto="1"/>
        </patternFill>
      </fill>
    </dxf>
    <dxf>
      <fill>
        <patternFill patternType="none">
          <bgColor auto="1"/>
        </patternFill>
      </fill>
    </dxf>
    <dxf>
      <font>
        <color rgb="FF00B0F0"/>
      </font>
    </dxf>
    <dxf>
      <font>
        <color theme="0"/>
      </font>
      <border>
        <left style="hair">
          <color theme="0"/>
        </left>
        <right style="hair">
          <color theme="0"/>
        </right>
        <top style="hair">
          <color theme="0"/>
        </top>
        <bottom style="hair">
          <color theme="0"/>
        </bottom>
        <vertical/>
        <horizontal/>
      </border>
    </dxf>
    <dxf>
      <fill>
        <patternFill patternType="none">
          <bgColor auto="1"/>
        </patternFill>
      </fill>
    </dxf>
    <dxf>
      <fill>
        <patternFill>
          <bgColor theme="1"/>
        </patternFill>
      </fill>
    </dxf>
    <dxf>
      <fill>
        <patternFill patternType="none">
          <bgColor auto="1"/>
        </patternFill>
      </fill>
    </dxf>
    <dxf>
      <font>
        <color rgb="FF00B0F0"/>
      </font>
    </dxf>
    <dxf>
      <font>
        <color rgb="FF00B0F0"/>
      </font>
    </dxf>
    <dxf>
      <font>
        <color rgb="FFFF0000"/>
      </font>
    </dxf>
    <dxf>
      <font>
        <color rgb="FFFF0000"/>
      </font>
    </dxf>
    <dxf>
      <font>
        <color rgb="FF7AC143"/>
      </font>
    </dxf>
    <dxf>
      <font>
        <color rgb="FFFF0000"/>
      </font>
    </dxf>
    <dxf>
      <font>
        <color rgb="FFFF0000"/>
      </font>
    </dxf>
    <dxf>
      <font>
        <color rgb="FF7AC143"/>
      </font>
    </dxf>
    <dxf>
      <fill>
        <patternFill>
          <bgColor rgb="FFFFFFCC"/>
        </patternFill>
      </fill>
    </dxf>
    <dxf>
      <fill>
        <patternFill>
          <bgColor theme="1"/>
        </patternFill>
      </fill>
    </dxf>
    <dxf>
      <fill>
        <patternFill>
          <bgColor theme="1"/>
        </patternFill>
      </fill>
    </dxf>
  </dxfs>
  <tableStyles count="0" defaultTableStyle="TableStyleMedium2" defaultPivotStyle="PivotStyleLight16"/>
  <colors>
    <mruColors>
      <color rgb="FFFFFFCC"/>
      <color rgb="FFF1F0F0"/>
      <color rgb="FF0072BC"/>
      <color rgb="FF034EA2"/>
      <color rgb="FF00AC4D"/>
      <color rgb="FFF0F5F7"/>
      <color rgb="FFFFFF99"/>
      <color rgb="FF7AC143"/>
      <color rgb="FFAEC5CD"/>
      <color rgb="FF6DC8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focusonenergy.com/catalogs"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focusonenergy.com/catalogs"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38101</xdr:colOff>
      <xdr:row>0</xdr:row>
      <xdr:rowOff>0</xdr:rowOff>
    </xdr:from>
    <xdr:to>
      <xdr:col>8</xdr:col>
      <xdr:colOff>935327</xdr:colOff>
      <xdr:row>2</xdr:row>
      <xdr:rowOff>211462</xdr:rowOff>
    </xdr:to>
    <xdr:pic>
      <xdr:nvPicPr>
        <xdr:cNvPr id="3" name="Picture 2">
          <a:hlinkClick xmlns:r="http://schemas.openxmlformats.org/officeDocument/2006/relationships" r:id="rId1"/>
          <a:extLst>
            <a:ext uri="{FF2B5EF4-FFF2-40B4-BE49-F238E27FC236}">
              <a16:creationId xmlns:a16="http://schemas.microsoft.com/office/drawing/2014/main" id="{9A94341E-A26B-4CC3-8940-26F6F6B1904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556" t="17707" r="5556" b="17709"/>
        <a:stretch/>
      </xdr:blipFill>
      <xdr:spPr>
        <a:xfrm>
          <a:off x="7581901" y="0"/>
          <a:ext cx="2926051" cy="708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466725</xdr:colOff>
      <xdr:row>0</xdr:row>
      <xdr:rowOff>0</xdr:rowOff>
    </xdr:from>
    <xdr:to>
      <xdr:col>8</xdr:col>
      <xdr:colOff>1236315</xdr:colOff>
      <xdr:row>2</xdr:row>
      <xdr:rowOff>174791</xdr:rowOff>
    </xdr:to>
    <xdr:pic>
      <xdr:nvPicPr>
        <xdr:cNvPr id="3" name="Picture 2">
          <a:hlinkClick xmlns:r="http://schemas.openxmlformats.org/officeDocument/2006/relationships" r:id="rId1"/>
          <a:extLst>
            <a:ext uri="{FF2B5EF4-FFF2-40B4-BE49-F238E27FC236}">
              <a16:creationId xmlns:a16="http://schemas.microsoft.com/office/drawing/2014/main" id="{23FF0B6D-93C3-41EE-8B80-FF6F43037DB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556" t="17707" r="5556" b="17709"/>
        <a:stretch/>
      </xdr:blipFill>
      <xdr:spPr>
        <a:xfrm>
          <a:off x="10010775" y="0"/>
          <a:ext cx="2926051" cy="70866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ory Clementz" id="{21B8DC3A-EAF1-492D-AE83-3335B6894BB9}" userId="S::cclementz@franklinenergy.com::503b2e5b-af32-44b4-ac98-6021b54ad10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31" dT="2024-06-10T16:38:33.08" personId="{21B8DC3A-EAF1-492D-AE83-3335B6894BB9}" id="{8F884DAF-F53C-41A9-945B-BD915CAC4B83}">
    <text>Removed option as result of 2024 mid-year update.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ahrinet.org/App_Content/ahri/files/standards%20pdfs/AHRI%20standards%20pdfs/AHRI%20Standard%20550-590%20(I-P)-2011.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82"/>
  <sheetViews>
    <sheetView tabSelected="1" zoomScale="90" zoomScaleNormal="90" workbookViewId="0">
      <selection activeCell="C8" sqref="C8:F8"/>
    </sheetView>
  </sheetViews>
  <sheetFormatPr defaultColWidth="9.109375" defaultRowHeight="14.4" x14ac:dyDescent="0.3"/>
  <cols>
    <col min="1" max="1" width="11.33203125" style="4" customWidth="1"/>
    <col min="2" max="2" width="16" style="4" customWidth="1"/>
    <col min="3" max="4" width="21.6640625" style="4" customWidth="1"/>
    <col min="5" max="5" width="20.6640625" style="4" customWidth="1"/>
    <col min="6" max="6" width="21.6640625" style="4" customWidth="1"/>
    <col min="7" max="7" width="17.88671875" style="4" customWidth="1"/>
    <col min="8" max="8" width="12.6640625" style="4" customWidth="1"/>
    <col min="9" max="9" width="14.88671875" style="4" customWidth="1"/>
    <col min="10" max="10" width="12.6640625" style="5" customWidth="1"/>
    <col min="11" max="12" width="13.88671875" style="4" customWidth="1"/>
    <col min="13" max="13" width="12" style="4" customWidth="1"/>
    <col min="14" max="14" width="45.6640625" style="4" hidden="1" customWidth="1"/>
    <col min="15" max="15" width="75" style="4" hidden="1" customWidth="1"/>
    <col min="16" max="16" width="14.88671875" style="4" hidden="1" customWidth="1"/>
    <col min="17" max="17" width="10.33203125" style="4" hidden="1" customWidth="1"/>
    <col min="18" max="18" width="16.33203125" style="4" hidden="1" customWidth="1"/>
    <col min="19" max="22" width="14.6640625" style="4" hidden="1" customWidth="1"/>
    <col min="23" max="23" width="12.6640625" style="4" hidden="1" customWidth="1"/>
    <col min="24" max="24" width="11.33203125" style="4" hidden="1" customWidth="1"/>
    <col min="25" max="25" width="13" style="4" hidden="1" customWidth="1"/>
    <col min="26" max="26" width="9.88671875" style="4" hidden="1" customWidth="1"/>
    <col min="27" max="27" width="15" style="4" hidden="1" customWidth="1"/>
    <col min="28" max="28" width="9.109375" style="4" customWidth="1"/>
    <col min="29" max="31" width="9.109375" style="4"/>
    <col min="32" max="32" width="12.109375" style="4" customWidth="1"/>
    <col min="33" max="16384" width="9.109375" style="4"/>
  </cols>
  <sheetData>
    <row r="1" spans="1:27" x14ac:dyDescent="0.3">
      <c r="N1" s="6" t="s">
        <v>0</v>
      </c>
      <c r="O1" s="6" t="s">
        <v>0</v>
      </c>
      <c r="P1" s="6" t="s">
        <v>0</v>
      </c>
      <c r="Q1" s="6" t="s">
        <v>0</v>
      </c>
      <c r="R1" s="6" t="s">
        <v>0</v>
      </c>
      <c r="S1" s="6" t="s">
        <v>0</v>
      </c>
      <c r="T1" s="6" t="s">
        <v>0</v>
      </c>
      <c r="U1" s="6" t="s">
        <v>0</v>
      </c>
      <c r="V1" s="6" t="s">
        <v>0</v>
      </c>
      <c r="W1" s="6" t="s">
        <v>0</v>
      </c>
      <c r="X1" s="6" t="s">
        <v>0</v>
      </c>
      <c r="Y1" s="6" t="s">
        <v>0</v>
      </c>
      <c r="Z1" s="6" t="s">
        <v>0</v>
      </c>
      <c r="AA1" s="6" t="s">
        <v>0</v>
      </c>
    </row>
    <row r="2" spans="1:27" s="195" customFormat="1" ht="25.05" customHeight="1" x14ac:dyDescent="0.4">
      <c r="A2" s="194" t="s">
        <v>1</v>
      </c>
      <c r="B2" s="194"/>
      <c r="J2" s="196"/>
    </row>
    <row r="3" spans="1:27" ht="18" customHeight="1" x14ac:dyDescent="0.3">
      <c r="A3" s="7"/>
      <c r="B3" s="8" t="s">
        <v>321</v>
      </c>
      <c r="F3" s="9"/>
    </row>
    <row r="4" spans="1:27" ht="26.4" customHeight="1" x14ac:dyDescent="0.3">
      <c r="A4" s="225" t="s">
        <v>281</v>
      </c>
      <c r="B4" s="225"/>
      <c r="C4" s="225"/>
      <c r="D4" s="225"/>
      <c r="E4" s="225"/>
      <c r="F4" s="225"/>
      <c r="G4" s="225"/>
      <c r="H4" s="225"/>
      <c r="I4" s="225"/>
    </row>
    <row r="5" spans="1:27" ht="15" thickBot="1" x14ac:dyDescent="0.35">
      <c r="A5" s="226" t="s">
        <v>262</v>
      </c>
      <c r="B5" s="227"/>
      <c r="C5" s="227"/>
      <c r="D5" s="227"/>
      <c r="E5" s="227"/>
      <c r="F5" s="227"/>
      <c r="G5" s="227"/>
      <c r="H5" s="227"/>
      <c r="I5" s="10"/>
    </row>
    <row r="6" spans="1:27" ht="15.6" x14ac:dyDescent="0.3">
      <c r="A6" s="251" t="s">
        <v>2</v>
      </c>
      <c r="B6" s="252"/>
      <c r="C6" s="252"/>
      <c r="D6" s="252"/>
      <c r="E6" s="252"/>
      <c r="F6" s="252"/>
      <c r="G6" s="252"/>
      <c r="H6" s="252"/>
      <c r="I6" s="253"/>
    </row>
    <row r="7" spans="1:27" x14ac:dyDescent="0.3">
      <c r="A7" s="11"/>
      <c r="D7" s="12" t="str">
        <f>IFERROR(IF(C10="","",IF(AND($C$10 &gt;= VLOOKUP($C$8,$O$121:$Q$132,2,FALSE), $C$10 &lt; VLOOKUP($C$8,$O$121:$Q$132,3,FALSE)),"", "Error: Capacity included in Chiller Type text doesn't match Chiller AHRI Capacity below!")),"")</f>
        <v/>
      </c>
      <c r="I7" s="13"/>
    </row>
    <row r="8" spans="1:27" x14ac:dyDescent="0.3">
      <c r="A8" s="14"/>
      <c r="B8" s="15" t="s">
        <v>3</v>
      </c>
      <c r="C8" s="257"/>
      <c r="D8" s="257"/>
      <c r="E8" s="257"/>
      <c r="F8" s="257"/>
      <c r="I8" s="16"/>
    </row>
    <row r="9" spans="1:27" x14ac:dyDescent="0.3">
      <c r="A9" s="14"/>
      <c r="B9" s="15" t="s">
        <v>4</v>
      </c>
      <c r="C9" s="17"/>
      <c r="I9" s="16"/>
    </row>
    <row r="10" spans="1:27" x14ac:dyDescent="0.3">
      <c r="A10" s="14"/>
      <c r="B10" s="15" t="s">
        <v>5</v>
      </c>
      <c r="C10" s="17"/>
      <c r="D10" s="4" t="s">
        <v>320</v>
      </c>
      <c r="E10" s="18" t="s">
        <v>7</v>
      </c>
      <c r="F10" s="19"/>
      <c r="G10" s="19"/>
      <c r="I10" s="16"/>
    </row>
    <row r="11" spans="1:27" x14ac:dyDescent="0.3">
      <c r="A11" s="14"/>
      <c r="B11" s="15"/>
      <c r="D11" s="5"/>
      <c r="E11" s="12"/>
      <c r="F11" s="5"/>
      <c r="G11" s="5"/>
      <c r="I11" s="16"/>
    </row>
    <row r="12" spans="1:27" x14ac:dyDescent="0.3">
      <c r="A12" s="14"/>
      <c r="B12" s="262" t="s">
        <v>8</v>
      </c>
      <c r="C12" s="20" t="str">
        <f>IF(C8="","",IF(LEFT(C8,3)="Air",O162,IF(LEFT(C8,5)="Water", N162, "Error - select appropriate Chiller Type")))</f>
        <v/>
      </c>
      <c r="D12" s="21"/>
      <c r="E12" s="21"/>
      <c r="F12" s="21"/>
      <c r="G12" s="21"/>
      <c r="I12" s="16"/>
    </row>
    <row r="13" spans="1:27" x14ac:dyDescent="0.3">
      <c r="A13" s="14"/>
      <c r="B13" s="262"/>
      <c r="C13" s="22" t="str">
        <f>IFERROR(HLOOKUP($C$12,$N$162:$O$168,2,FALSE),"")</f>
        <v/>
      </c>
      <c r="D13" s="21"/>
      <c r="E13" s="21"/>
      <c r="F13" s="21"/>
      <c r="G13" s="21"/>
      <c r="I13" s="16"/>
    </row>
    <row r="14" spans="1:27" x14ac:dyDescent="0.3">
      <c r="A14" s="14"/>
      <c r="B14" s="23"/>
      <c r="C14" s="22" t="str">
        <f>IFERROR(HLOOKUP($C$12,$N$162:$O$168,3,FALSE),"")</f>
        <v/>
      </c>
      <c r="D14" s="21"/>
      <c r="E14" s="21"/>
      <c r="F14" s="21"/>
      <c r="G14" s="21"/>
      <c r="I14" s="16"/>
    </row>
    <row r="15" spans="1:27" x14ac:dyDescent="0.3">
      <c r="A15" s="14"/>
      <c r="B15" s="23"/>
      <c r="C15" s="22" t="str">
        <f>IFERROR(HLOOKUP($C$12,$N$162:$O$168,4,FALSE),"")</f>
        <v/>
      </c>
      <c r="D15" s="21"/>
      <c r="E15" s="21"/>
      <c r="F15" s="21"/>
      <c r="G15" s="21"/>
      <c r="I15" s="16"/>
    </row>
    <row r="16" spans="1:27" x14ac:dyDescent="0.3">
      <c r="A16" s="14"/>
      <c r="B16" s="23"/>
      <c r="C16" s="22" t="str">
        <f>IFERROR(HLOOKUP($C$12,$N$162:$O$168,5,FALSE),"")</f>
        <v/>
      </c>
      <c r="D16" s="21"/>
      <c r="E16" s="21"/>
      <c r="F16" s="21"/>
      <c r="G16" s="21"/>
      <c r="I16" s="16"/>
    </row>
    <row r="17" spans="1:27" x14ac:dyDescent="0.3">
      <c r="A17" s="14"/>
      <c r="B17" s="23"/>
      <c r="C17" s="22" t="str">
        <f>IFERROR(HLOOKUP($C$12,$N$162:$O$168,6,FALSE),"")</f>
        <v/>
      </c>
      <c r="D17" s="21"/>
      <c r="E17" s="21"/>
      <c r="F17" s="21"/>
      <c r="G17" s="21"/>
      <c r="I17" s="16"/>
    </row>
    <row r="18" spans="1:27" x14ac:dyDescent="0.3">
      <c r="A18" s="14"/>
      <c r="B18" s="19"/>
      <c r="C18" s="22" t="str">
        <f>IFERROR(HLOOKUP($C$12,$N$162:$O$168,7,FALSE),"")</f>
        <v/>
      </c>
      <c r="D18" s="19"/>
      <c r="E18" s="19"/>
      <c r="F18" s="19"/>
      <c r="G18" s="19"/>
      <c r="I18" s="16"/>
    </row>
    <row r="19" spans="1:27" x14ac:dyDescent="0.3">
      <c r="A19" s="11"/>
      <c r="I19" s="16"/>
    </row>
    <row r="20" spans="1:27" x14ac:dyDescent="0.3">
      <c r="A20" s="24" t="s">
        <v>294</v>
      </c>
      <c r="B20" s="25"/>
      <c r="I20" s="16"/>
    </row>
    <row r="21" spans="1:27" x14ac:dyDescent="0.3">
      <c r="A21" s="24"/>
      <c r="B21" s="25"/>
      <c r="C21" s="26" t="s">
        <v>9</v>
      </c>
      <c r="D21" s="26" t="s">
        <v>10</v>
      </c>
      <c r="I21" s="16"/>
    </row>
    <row r="22" spans="1:27" x14ac:dyDescent="0.3">
      <c r="A22" s="14"/>
      <c r="B22" s="15" t="s">
        <v>11</v>
      </c>
      <c r="C22" s="27" t="str">
        <f>IFERROR(ROUND(VLOOKUP($C$8,$O$121:$V$132,7,FALSE),3),"")</f>
        <v/>
      </c>
      <c r="D22" s="27" t="str">
        <f>IFERROR(ROUND(VLOOKUP($C$8,O134:V145,7,FALSE),3),"")</f>
        <v/>
      </c>
      <c r="E22" s="4" t="s">
        <v>12</v>
      </c>
      <c r="I22" s="16"/>
    </row>
    <row r="23" spans="1:27" x14ac:dyDescent="0.3">
      <c r="A23" s="14"/>
      <c r="B23" s="15" t="s">
        <v>13</v>
      </c>
      <c r="C23" s="27" t="str">
        <f>IFERROR(ROUND(VLOOKUP($C$8,$O$121:$V$132,8,FALSE),3),"")</f>
        <v/>
      </c>
      <c r="D23" s="27" t="str">
        <f>IFERROR(ROUND(VLOOKUP($C$8,O134:V145,8,FALSE),3),"")</f>
        <v/>
      </c>
      <c r="E23" s="4" t="s">
        <v>12</v>
      </c>
      <c r="I23" s="16"/>
    </row>
    <row r="24" spans="1:27" x14ac:dyDescent="0.3">
      <c r="A24" s="14"/>
      <c r="B24" s="15"/>
      <c r="C24" s="28"/>
      <c r="I24" s="16"/>
    </row>
    <row r="25" spans="1:27" x14ac:dyDescent="0.3">
      <c r="A25" s="24" t="s">
        <v>14</v>
      </c>
      <c r="B25" s="25"/>
      <c r="I25" s="16"/>
    </row>
    <row r="26" spans="1:27" x14ac:dyDescent="0.3">
      <c r="A26" s="14"/>
      <c r="B26" s="18" t="s">
        <v>15</v>
      </c>
      <c r="C26" s="19"/>
      <c r="D26" s="19"/>
      <c r="E26" s="19"/>
      <c r="F26" s="19"/>
      <c r="G26" s="19"/>
      <c r="I26" s="16"/>
    </row>
    <row r="27" spans="1:27" x14ac:dyDescent="0.3">
      <c r="A27" s="14"/>
      <c r="B27" s="15" t="s">
        <v>16</v>
      </c>
      <c r="C27" s="271"/>
      <c r="D27" s="271"/>
      <c r="I27" s="16"/>
      <c r="N27" s="29" t="s">
        <v>0</v>
      </c>
      <c r="O27" s="29" t="s">
        <v>0</v>
      </c>
      <c r="P27" s="29" t="s">
        <v>0</v>
      </c>
      <c r="Q27" s="29" t="s">
        <v>0</v>
      </c>
      <c r="R27" s="29" t="s">
        <v>0</v>
      </c>
      <c r="S27" s="29" t="s">
        <v>0</v>
      </c>
      <c r="T27" s="29" t="s">
        <v>0</v>
      </c>
      <c r="U27" s="29" t="s">
        <v>0</v>
      </c>
      <c r="V27" s="29" t="s">
        <v>0</v>
      </c>
      <c r="W27" s="29" t="s">
        <v>0</v>
      </c>
      <c r="X27" s="29" t="s">
        <v>0</v>
      </c>
      <c r="Y27" s="29" t="s">
        <v>0</v>
      </c>
      <c r="Z27" s="29" t="s">
        <v>0</v>
      </c>
      <c r="AA27" s="29" t="s">
        <v>0</v>
      </c>
    </row>
    <row r="28" spans="1:27" x14ac:dyDescent="0.3">
      <c r="A28" s="11"/>
      <c r="F28" s="30" t="s">
        <v>17</v>
      </c>
      <c r="I28" s="16"/>
    </row>
    <row r="29" spans="1:27" x14ac:dyDescent="0.3">
      <c r="A29" s="14"/>
      <c r="B29" s="15" t="s">
        <v>11</v>
      </c>
      <c r="C29" s="272"/>
      <c r="D29" s="272"/>
      <c r="E29" s="4">
        <f>$C$27</f>
        <v>0</v>
      </c>
      <c r="F29" s="27" t="str">
        <f>IFERROR(VLOOKUP($C$27,$P$156:$V$158,4,FALSE),"")</f>
        <v/>
      </c>
      <c r="G29" s="1" t="e">
        <f>VLOOKUP($C$27,$P$156:$R$158,2,FALSE)</f>
        <v>#N/A</v>
      </c>
      <c r="H29" s="31" t="str">
        <f>IFERROR(VLOOKUP($C$27,$P$156:$V$158,6,FALSE),"")</f>
        <v/>
      </c>
      <c r="I29" s="32" t="e">
        <f>VLOOKUP($C$27,$P$156:$R$158,3,FALSE)</f>
        <v>#N/A</v>
      </c>
    </row>
    <row r="30" spans="1:27" x14ac:dyDescent="0.3">
      <c r="A30" s="14"/>
      <c r="B30" s="15" t="s">
        <v>13</v>
      </c>
      <c r="C30" s="272"/>
      <c r="D30" s="272"/>
      <c r="E30" s="4">
        <f>$C$27</f>
        <v>0</v>
      </c>
      <c r="F30" s="27" t="str">
        <f>IFERROR(VLOOKUP($C$27,$P$156:$V$158,5,FALSE),"")</f>
        <v/>
      </c>
      <c r="G30" s="1" t="e">
        <f>VLOOKUP($C$27,$P$156:$R$158,2,FALSE)</f>
        <v>#N/A</v>
      </c>
      <c r="H30" s="31" t="str">
        <f>IFERROR(VLOOKUP($C$27,$P$156:$V$158,7,FALSE),"")</f>
        <v/>
      </c>
      <c r="I30" s="32" t="e">
        <f>VLOOKUP($C$27,$P$156:$R$158,3,FALSE)</f>
        <v>#N/A</v>
      </c>
    </row>
    <row r="31" spans="1:27" ht="15" thickBot="1" x14ac:dyDescent="0.35">
      <c r="A31" s="11"/>
      <c r="I31" s="16"/>
    </row>
    <row r="32" spans="1:27" x14ac:dyDescent="0.3">
      <c r="A32" s="33" t="s">
        <v>18</v>
      </c>
      <c r="B32" s="34"/>
      <c r="C32" s="35"/>
      <c r="D32" s="35"/>
      <c r="E32" s="35"/>
      <c r="F32" s="35"/>
      <c r="G32" s="35"/>
      <c r="H32" s="35"/>
      <c r="I32" s="36"/>
    </row>
    <row r="33" spans="1:10" s="39" customFormat="1" x14ac:dyDescent="0.3">
      <c r="A33" s="37" t="s">
        <v>19</v>
      </c>
      <c r="B33" s="38"/>
      <c r="I33" s="40"/>
      <c r="J33" s="41"/>
    </row>
    <row r="34" spans="1:10" x14ac:dyDescent="0.3">
      <c r="A34" s="42"/>
      <c r="B34" s="43" t="s">
        <v>20</v>
      </c>
      <c r="C34" s="258"/>
      <c r="D34" s="258"/>
      <c r="E34" s="44" t="s">
        <v>21</v>
      </c>
      <c r="I34" s="16"/>
    </row>
    <row r="35" spans="1:10" ht="8.1" customHeight="1" x14ac:dyDescent="0.3">
      <c r="A35" s="42"/>
      <c r="B35" s="43"/>
      <c r="C35" s="43"/>
      <c r="D35" s="43"/>
      <c r="I35" s="16"/>
    </row>
    <row r="36" spans="1:10" ht="30.75" customHeight="1" x14ac:dyDescent="0.3">
      <c r="A36" s="45"/>
      <c r="B36" s="26" t="s">
        <v>22</v>
      </c>
      <c r="C36" s="26" t="str">
        <f>IF($C$34&gt;0,VLOOKUP($C$34,$N$172:$P$174,2,FALSE),"")</f>
        <v/>
      </c>
      <c r="D36" s="26" t="str">
        <f>IF($C$34&gt;0,VLOOKUP($C$34,$N$172:$P$174,3,FALSE),"")</f>
        <v/>
      </c>
      <c r="F36" s="26" t="s">
        <v>23</v>
      </c>
      <c r="G36" s="26" t="s">
        <v>24</v>
      </c>
      <c r="H36" s="46" t="s">
        <v>25</v>
      </c>
      <c r="I36" s="16"/>
      <c r="J36" s="4"/>
    </row>
    <row r="37" spans="1:10" x14ac:dyDescent="0.3">
      <c r="A37" s="47"/>
      <c r="B37" s="48">
        <v>1</v>
      </c>
      <c r="C37" s="49"/>
      <c r="D37" s="50"/>
      <c r="F37" s="51" t="str">
        <f>IF($C37&gt;0,IF($C$34=$N$172, $D37/$C37,IF($C$34=$N$173,$C37, IF($C$34=$N$174,12/$C37,""))),"")</f>
        <v/>
      </c>
      <c r="G37" s="51" t="str">
        <f>IF(F37&lt;&gt;"",12/F37,"")</f>
        <v/>
      </c>
      <c r="H37" s="52">
        <v>0.01</v>
      </c>
      <c r="I37" s="16"/>
      <c r="J37" s="4"/>
    </row>
    <row r="38" spans="1:10" x14ac:dyDescent="0.3">
      <c r="A38" s="47"/>
      <c r="B38" s="48">
        <v>0.75</v>
      </c>
      <c r="C38" s="49"/>
      <c r="D38" s="50"/>
      <c r="F38" s="51" t="str">
        <f>IF($C38&gt;0,IF($C$34=$N$172, $D38/$C38,IF($C$34=$N$173,$C38, IF($C$34=$N$174,12/$C38,""))),"")</f>
        <v/>
      </c>
      <c r="G38" s="51" t="str">
        <f>IF(F38&lt;&gt;"",12/F38,"")</f>
        <v/>
      </c>
      <c r="H38" s="52">
        <v>0.42</v>
      </c>
      <c r="I38" s="16"/>
      <c r="J38" s="4"/>
    </row>
    <row r="39" spans="1:10" x14ac:dyDescent="0.3">
      <c r="A39" s="47"/>
      <c r="B39" s="48">
        <v>0.5</v>
      </c>
      <c r="C39" s="49"/>
      <c r="D39" s="50"/>
      <c r="F39" s="51" t="str">
        <f>IF($C39&gt;0,IF($C$34=$N$172, $D39/$C39,IF($C$34=$N$173,$C39, IF($C$34=$N$174,12/$C39,""))),"")</f>
        <v/>
      </c>
      <c r="G39" s="51" t="str">
        <f>IF(F39&lt;&gt;"",12/F39,"")</f>
        <v/>
      </c>
      <c r="H39" s="52">
        <v>0.45</v>
      </c>
      <c r="I39" s="16"/>
      <c r="J39" s="4"/>
    </row>
    <row r="40" spans="1:10" x14ac:dyDescent="0.3">
      <c r="A40" s="47"/>
      <c r="B40" s="48">
        <v>0.25</v>
      </c>
      <c r="C40" s="49"/>
      <c r="D40" s="50"/>
      <c r="F40" s="51" t="str">
        <f>IF($C40&gt;0,IF($C$34=$N$172, $D40/$C40,IF($C$34=$N$173,$C40, IF($C$34=$N$174,12/$C40,""))),"")</f>
        <v/>
      </c>
      <c r="G40" s="51" t="str">
        <f>IF(F40&lt;&gt;"",12/F40,"")</f>
        <v/>
      </c>
      <c r="H40" s="52">
        <v>0.12</v>
      </c>
      <c r="I40" s="16"/>
      <c r="J40" s="4"/>
    </row>
    <row r="41" spans="1:10" x14ac:dyDescent="0.3">
      <c r="A41" s="11"/>
      <c r="F41" s="53"/>
      <c r="G41" s="54"/>
      <c r="I41" s="16"/>
      <c r="J41" s="4"/>
    </row>
    <row r="42" spans="1:10" x14ac:dyDescent="0.3">
      <c r="A42" s="11"/>
      <c r="D42" s="55" t="str">
        <f>"(link cell B30 to here, kW/ton or EER as appropriate)----&gt;"</f>
        <v>(link cell B30 to here, kW/ton or EER as appropriate)----&gt;</v>
      </c>
      <c r="E42" s="56" t="s">
        <v>26</v>
      </c>
      <c r="F42" s="57" t="str">
        <f>IF(SUMPRODUCT(G37:G40,H37:H40)&gt;0,12/SUMPRODUCT(G37:G40,H37:H40),"")</f>
        <v/>
      </c>
      <c r="G42" s="57" t="str">
        <f>IF(SUMPRODUCT(G37:G40,H37:H40)&gt;0,SUMPRODUCT(G37:G40,H37:H40),"")</f>
        <v/>
      </c>
      <c r="I42" s="16"/>
      <c r="J42" s="4"/>
    </row>
    <row r="43" spans="1:10" ht="15" thickBot="1" x14ac:dyDescent="0.35">
      <c r="A43" s="58"/>
      <c r="B43" s="59"/>
      <c r="C43" s="59"/>
      <c r="D43" s="59"/>
      <c r="E43" s="59"/>
      <c r="F43" s="59"/>
      <c r="G43" s="59"/>
      <c r="H43" s="59"/>
      <c r="I43" s="60"/>
      <c r="J43" s="4"/>
    </row>
    <row r="44" spans="1:10" x14ac:dyDescent="0.3">
      <c r="J44" s="4"/>
    </row>
    <row r="45" spans="1:10" ht="15" thickBot="1" x14ac:dyDescent="0.35">
      <c r="J45" s="4"/>
    </row>
    <row r="46" spans="1:10" ht="15.6" x14ac:dyDescent="0.3">
      <c r="A46" s="251" t="s">
        <v>285</v>
      </c>
      <c r="B46" s="252"/>
      <c r="C46" s="252"/>
      <c r="D46" s="252"/>
      <c r="E46" s="252"/>
      <c r="F46" s="252"/>
      <c r="G46" s="252"/>
      <c r="H46" s="252"/>
      <c r="I46" s="253"/>
      <c r="J46" s="4"/>
    </row>
    <row r="47" spans="1:10" x14ac:dyDescent="0.3">
      <c r="A47" s="61" t="s">
        <v>286</v>
      </c>
      <c r="I47" s="16"/>
      <c r="J47" s="4"/>
    </row>
    <row r="48" spans="1:10" x14ac:dyDescent="0.3">
      <c r="A48" s="62"/>
      <c r="B48" s="63" t="s">
        <v>3</v>
      </c>
      <c r="C48" s="25" t="str">
        <f>IF(C8&lt;&gt;"",C8,"")</f>
        <v/>
      </c>
      <c r="I48" s="16"/>
      <c r="J48" s="4"/>
    </row>
    <row r="49" spans="1:11" x14ac:dyDescent="0.3">
      <c r="A49" s="62"/>
      <c r="B49" s="63"/>
      <c r="C49" s="15" t="s">
        <v>287</v>
      </c>
      <c r="D49" s="64" t="str">
        <f>IFERROR(IF($C$9=$W$164,VLOOKUP(1,$R$121:$Z$132,9,FALSE),VLOOKUP(1,$R$121:$X$132,7,FALSE)),"")</f>
        <v/>
      </c>
      <c r="E49" s="65" t="s">
        <v>27</v>
      </c>
      <c r="I49" s="16"/>
      <c r="J49" s="4"/>
    </row>
    <row r="50" spans="1:11" x14ac:dyDescent="0.3">
      <c r="A50" s="62"/>
      <c r="B50" s="63"/>
      <c r="C50" s="15" t="s">
        <v>288</v>
      </c>
      <c r="D50" s="64" t="str">
        <f>IFERROR(IF($C$9=$W$164, VLOOKUP(1,$R$121:$Z$132,8,FALSE), VLOOKUP(1,$R$121:$X$132,6,FALSE)),"")</f>
        <v/>
      </c>
      <c r="E50" s="65" t="s">
        <v>28</v>
      </c>
      <c r="F50" s="15"/>
      <c r="G50" s="64"/>
      <c r="H50" s="65"/>
      <c r="I50" s="16"/>
      <c r="J50" s="4"/>
    </row>
    <row r="51" spans="1:11" x14ac:dyDescent="0.3">
      <c r="A51" s="11"/>
      <c r="I51" s="16"/>
      <c r="J51" s="4"/>
    </row>
    <row r="52" spans="1:11" x14ac:dyDescent="0.3">
      <c r="A52" s="11"/>
      <c r="D52" s="268" t="s">
        <v>29</v>
      </c>
      <c r="E52" s="269"/>
      <c r="F52" s="269"/>
      <c r="G52" s="270"/>
      <c r="I52" s="16"/>
      <c r="J52" s="4"/>
    </row>
    <row r="53" spans="1:11" ht="30" customHeight="1" x14ac:dyDescent="0.3">
      <c r="A53" s="11"/>
      <c r="C53" s="66" t="s">
        <v>30</v>
      </c>
      <c r="D53" s="259" t="s">
        <v>9</v>
      </c>
      <c r="E53" s="260"/>
      <c r="F53" s="259" t="s">
        <v>10</v>
      </c>
      <c r="G53" s="260"/>
      <c r="I53" s="16"/>
      <c r="J53" s="4"/>
    </row>
    <row r="54" spans="1:11" ht="30" customHeight="1" x14ac:dyDescent="0.3">
      <c r="A54" s="67"/>
      <c r="B54" s="68" t="s">
        <v>11</v>
      </c>
      <c r="C54" s="221" t="e">
        <f>IF(E29="kW/Ton",ROUND(C29,3),IF(G29="kW/Ton",ROUND(F29,3),IF(I29="kW/Ton",ROUND(H29,3),"")))</f>
        <v>#N/A</v>
      </c>
      <c r="D54" s="222" t="str">
        <f>IFERROR(ROUND(C22,3),"")</f>
        <v/>
      </c>
      <c r="E54" s="223" t="str">
        <f>IF(D54="", "Must select a chiller type first!",IF(C54&gt;0,IF(AND(C54&lt;=D54,LEFT($E$7,5)&lt;&gt;"Error"),"Qualifies", "Does not qualify"),""))</f>
        <v>Must select a chiller type first!</v>
      </c>
      <c r="F54" s="224" t="str">
        <f>IFERROR(ROUND(D22,3),"")</f>
        <v/>
      </c>
      <c r="G54" s="197" t="str">
        <f>IF(D54="", "Must select a chiller type first!",IF(C54&gt;0,IF(AND(C54&lt;=F54,LEFT($E$7,5)&lt;&gt;"Error"),"Qualifies", "Does not qualify"),""))</f>
        <v>Must select a chiller type first!</v>
      </c>
      <c r="I54" s="16"/>
      <c r="J54" s="4"/>
    </row>
    <row r="55" spans="1:11" ht="30" customHeight="1" x14ac:dyDescent="0.3">
      <c r="A55" s="14"/>
      <c r="B55" s="15" t="s">
        <v>13</v>
      </c>
      <c r="C55" s="221" t="e">
        <f>IF(E30="kW/Ton",ROUND(C30,3),IF(G30="kW/Ton",ROUND(F30,3),IF(I30="kW/Ton",ROUND(H30,3),"")))</f>
        <v>#N/A</v>
      </c>
      <c r="D55" s="221" t="str">
        <f>IFERROR(ROUND(C23,3),"")</f>
        <v/>
      </c>
      <c r="E55" s="223" t="str">
        <f>IF(D55="", "Must select a chiller type first!",IF(C55&gt;0,IF(AND(C55&lt;=D55,LEFT($E$7,5)&lt;&gt;"Error"),"Qualifies", "Does not qualify"),""))</f>
        <v>Must select a chiller type first!</v>
      </c>
      <c r="F55" s="224" t="str">
        <f>IFERROR(ROUND(D23,3),"")</f>
        <v/>
      </c>
      <c r="G55" s="197" t="str">
        <f>IF(D55="", "Must select a chiller type first!",IF(C55&gt;0,IF(AND(C55&lt;=F55,LEFT($E$7,5)&lt;&gt;"Error"),"Qualifies", "Does not qualify"),""))</f>
        <v>Must select a chiller type first!</v>
      </c>
      <c r="I55" s="16"/>
      <c r="K55" s="69"/>
    </row>
    <row r="56" spans="1:11" x14ac:dyDescent="0.3">
      <c r="A56" s="11"/>
      <c r="D56" s="70" t="str">
        <f>IF(E54="Must select a chiller type first!","Blank",IF(AND(E54="Qualifies",E55="Qualifies"),"Qualifies", "DNQ"))</f>
        <v>Blank</v>
      </c>
      <c r="E56" s="71"/>
      <c r="F56" s="72" t="str">
        <f>IF(G54="Must select a chiller type first!","Blank",IF(AND(G54="Qualifies",G55="Qualifies"),"Qualifies","DNQ"))</f>
        <v>Blank</v>
      </c>
      <c r="G56" s="71"/>
      <c r="I56" s="16"/>
    </row>
    <row r="57" spans="1:11" ht="36.75" customHeight="1" x14ac:dyDescent="0.3">
      <c r="A57" s="73"/>
      <c r="C57" s="220" t="s">
        <v>31</v>
      </c>
      <c r="D57" s="232" t="str">
        <f>VLOOKUP(D56,N177:O179,2,FALSE)</f>
        <v>Error - No Chiller Type Selected</v>
      </c>
      <c r="E57" s="233"/>
      <c r="F57" s="234" t="str">
        <f>VLOOKUP(F56,N177:O179,2,FALSE)</f>
        <v>Error - No Chiller Type Selected</v>
      </c>
      <c r="G57" s="233"/>
      <c r="I57" s="16"/>
      <c r="J57" s="307"/>
    </row>
    <row r="58" spans="1:11" x14ac:dyDescent="0.3">
      <c r="A58" s="11"/>
      <c r="D58" s="74"/>
      <c r="E58" s="75"/>
      <c r="G58" s="75"/>
      <c r="I58" s="76"/>
    </row>
    <row r="59" spans="1:11" ht="15.75" customHeight="1" x14ac:dyDescent="0.3">
      <c r="A59" s="62"/>
      <c r="C59" s="63" t="s">
        <v>289</v>
      </c>
      <c r="D59" s="304" t="str">
        <f>IFERROR(IF(AND(C54&gt;0,C55&gt;0,E54="Qualifies",E55="Qualifies"),  "$"&amp;FIXED(ROUND(MAX(((D54-C54)+(D55-C55))*$D$50+$D$49,0),Setup!B3),Setup!B3),0),"")</f>
        <v/>
      </c>
      <c r="E59" s="305"/>
      <c r="F59" s="304">
        <f>IFERROR(IF(AND(F54&gt;0,F55&gt;0,G54="Qualifies",G55="Qualifies"),  "$"&amp;FIXED(ROUND(MAX(((F54-C54)+(F55-C55))*$D$50+$D$49,0),Setup!B3),Setup!B3),0),"")</f>
        <v>0</v>
      </c>
      <c r="G59" s="305"/>
      <c r="I59" s="76"/>
      <c r="J59" s="306"/>
      <c r="K59" s="64"/>
    </row>
    <row r="60" spans="1:11" ht="15" thickBot="1" x14ac:dyDescent="0.35">
      <c r="A60" s="62"/>
      <c r="C60" s="63" t="s">
        <v>32</v>
      </c>
      <c r="D60" s="235" t="str">
        <f>FIXED(C10,Setup!$B$1)</f>
        <v>0</v>
      </c>
      <c r="E60" s="236"/>
      <c r="F60" s="235" t="str">
        <f>FIXED(C10,Setup!$B$1)</f>
        <v>0</v>
      </c>
      <c r="G60" s="236"/>
      <c r="I60" s="76"/>
      <c r="K60" s="77"/>
    </row>
    <row r="61" spans="1:11" ht="15" thickBot="1" x14ac:dyDescent="0.35">
      <c r="A61" s="62"/>
      <c r="C61" s="63" t="s">
        <v>269</v>
      </c>
      <c r="D61" s="237">
        <f>IF(AND(D59&lt;&gt;"",D59&gt;0,D60&gt;0),ROUND(D59,2)*ROUND(D60,0),0)</f>
        <v>0</v>
      </c>
      <c r="E61" s="237"/>
      <c r="F61" s="237">
        <f>IF(AND(F59&lt;&gt;"",F59&gt;0,F60&gt;0),ROUND(F59,2)*ROUND(F60,0),0)</f>
        <v>0</v>
      </c>
      <c r="G61" s="237"/>
      <c r="I61" s="76"/>
    </row>
    <row r="62" spans="1:11" x14ac:dyDescent="0.3">
      <c r="A62" s="62"/>
      <c r="B62" s="63"/>
      <c r="C62" s="63"/>
      <c r="D62" s="25"/>
      <c r="I62" s="76"/>
    </row>
    <row r="63" spans="1:11" x14ac:dyDescent="0.3">
      <c r="A63" s="62"/>
      <c r="B63" s="254" t="str">
        <f>IF(OR(AND(LEFT(D57,3)="YES",D61&gt;0),AND(LEFT(F57,3)="YES",F61&gt;0)),$N$182,"")</f>
        <v/>
      </c>
      <c r="C63" s="254"/>
      <c r="D63" s="254"/>
      <c r="E63" s="254"/>
      <c r="F63" s="254"/>
      <c r="G63" s="78"/>
      <c r="H63" s="78"/>
      <c r="I63" s="76"/>
    </row>
    <row r="64" spans="1:11" x14ac:dyDescent="0.3">
      <c r="A64" s="62"/>
      <c r="B64" s="254"/>
      <c r="C64" s="254"/>
      <c r="D64" s="254"/>
      <c r="E64" s="254"/>
      <c r="F64" s="254"/>
      <c r="G64" s="78"/>
      <c r="H64" s="78"/>
      <c r="I64" s="76"/>
    </row>
    <row r="65" spans="1:14" x14ac:dyDescent="0.3">
      <c r="A65" s="62"/>
      <c r="B65" s="254"/>
      <c r="C65" s="254"/>
      <c r="D65" s="254"/>
      <c r="E65" s="254"/>
      <c r="F65" s="254"/>
      <c r="G65" s="78"/>
      <c r="H65" s="78"/>
      <c r="I65" s="76"/>
    </row>
    <row r="66" spans="1:14" x14ac:dyDescent="0.3">
      <c r="A66" s="62"/>
      <c r="B66" s="254"/>
      <c r="C66" s="254"/>
      <c r="D66" s="254"/>
      <c r="E66" s="254"/>
      <c r="F66" s="254"/>
      <c r="G66" s="78"/>
      <c r="H66" s="78"/>
      <c r="I66" s="76"/>
    </row>
    <row r="67" spans="1:14" x14ac:dyDescent="0.3">
      <c r="A67" s="62"/>
      <c r="B67" s="254"/>
      <c r="C67" s="254"/>
      <c r="D67" s="254"/>
      <c r="E67" s="254"/>
      <c r="F67" s="254"/>
      <c r="G67" s="78"/>
      <c r="H67" s="78"/>
      <c r="I67" s="76"/>
    </row>
    <row r="68" spans="1:14" x14ac:dyDescent="0.3">
      <c r="A68" s="62"/>
      <c r="B68" s="63"/>
      <c r="C68" s="63"/>
      <c r="D68" s="25"/>
      <c r="E68" s="78"/>
      <c r="F68" s="78"/>
      <c r="G68" s="78"/>
      <c r="H68" s="78"/>
      <c r="I68" s="76"/>
    </row>
    <row r="69" spans="1:14" ht="15" thickBot="1" x14ac:dyDescent="0.35">
      <c r="A69" s="58"/>
      <c r="B69" s="59"/>
      <c r="C69" s="59"/>
      <c r="D69" s="59"/>
      <c r="E69" s="59"/>
      <c r="F69" s="59"/>
      <c r="G69" s="59"/>
      <c r="H69" s="59"/>
      <c r="I69" s="60"/>
    </row>
    <row r="71" spans="1:14" x14ac:dyDescent="0.3">
      <c r="J71" s="273" t="s">
        <v>33</v>
      </c>
      <c r="K71" s="273"/>
    </row>
    <row r="72" spans="1:14" ht="15.6" x14ac:dyDescent="0.3">
      <c r="A72" s="7" t="s">
        <v>290</v>
      </c>
      <c r="B72" s="7"/>
      <c r="J72" s="52" t="s">
        <v>9</v>
      </c>
      <c r="K72" s="79" t="str">
        <f>IFERROR(IF($C$9=$W$164,"N-","")&amp;VLOOKUP("Business", $P$163:$Q$164,2,FALSE) &amp;  VLOOKUP($C$8,$O$121:$AA$132,13,FALSE),"")</f>
        <v/>
      </c>
    </row>
    <row r="73" spans="1:14" x14ac:dyDescent="0.3">
      <c r="A73" s="30" t="s">
        <v>318</v>
      </c>
      <c r="B73" s="30"/>
      <c r="J73" s="52" t="s">
        <v>10</v>
      </c>
      <c r="K73" s="79" t="str">
        <f>IFERROR(IF($C$9=$W$164,"N-","")&amp;VLOOKUP("Business", $P$163:$Q$164,2,FALSE) &amp;  VLOOKUP($C$8,O134:AA145,13,FALSE),"")</f>
        <v/>
      </c>
    </row>
    <row r="74" spans="1:14" hidden="1" x14ac:dyDescent="0.3">
      <c r="A74" s="80" t="s">
        <v>34</v>
      </c>
      <c r="B74" s="80"/>
      <c r="C74" s="250" t="s">
        <v>35</v>
      </c>
      <c r="D74" s="250"/>
      <c r="E74" s="250"/>
      <c r="F74" s="250"/>
      <c r="G74" s="250"/>
      <c r="H74" s="250"/>
      <c r="I74" s="250"/>
      <c r="J74" s="250"/>
      <c r="K74" s="250"/>
    </row>
    <row r="75" spans="1:14" hidden="1" x14ac:dyDescent="0.3">
      <c r="A75" s="81"/>
      <c r="B75" s="81"/>
      <c r="C75" s="240" t="s">
        <v>36</v>
      </c>
      <c r="D75" s="240"/>
      <c r="E75" s="240"/>
      <c r="F75" s="240"/>
      <c r="G75" s="240"/>
      <c r="H75" s="240"/>
      <c r="I75" s="240"/>
      <c r="J75" s="240"/>
      <c r="K75" s="240"/>
    </row>
    <row r="76" spans="1:14" ht="32.1" hidden="1" customHeight="1" x14ac:dyDescent="0.3">
      <c r="A76" s="228" t="s">
        <v>37</v>
      </c>
      <c r="B76" s="228"/>
      <c r="C76" s="228" t="s">
        <v>38</v>
      </c>
      <c r="D76" s="228"/>
      <c r="E76" s="228"/>
      <c r="F76" s="228" t="s">
        <v>39</v>
      </c>
      <c r="G76" s="228"/>
      <c r="H76" s="228"/>
      <c r="I76" s="228" t="s">
        <v>40</v>
      </c>
      <c r="J76" s="228"/>
      <c r="K76" s="228"/>
    </row>
    <row r="77" spans="1:14" ht="32.1" hidden="1" customHeight="1" x14ac:dyDescent="0.3">
      <c r="A77" s="229">
        <v>1</v>
      </c>
      <c r="B77" s="231"/>
      <c r="C77" s="229"/>
      <c r="D77" s="230"/>
      <c r="E77" s="231"/>
      <c r="F77" s="229"/>
      <c r="G77" s="230"/>
      <c r="H77" s="231"/>
      <c r="I77" s="229"/>
      <c r="J77" s="230"/>
      <c r="K77" s="231"/>
    </row>
    <row r="79" spans="1:14" ht="16.2" thickBot="1" x14ac:dyDescent="0.35">
      <c r="A79" s="201" t="s">
        <v>41</v>
      </c>
      <c r="B79" s="241" t="s">
        <v>282</v>
      </c>
      <c r="C79" s="241"/>
      <c r="D79" s="241"/>
      <c r="E79" s="241"/>
      <c r="F79" s="241"/>
      <c r="G79" s="241"/>
      <c r="H79" s="241"/>
      <c r="I79" s="241"/>
      <c r="J79" s="241"/>
      <c r="K79" s="202" t="s">
        <v>42</v>
      </c>
    </row>
    <row r="80" spans="1:14" ht="39.6" customHeight="1" thickBot="1" x14ac:dyDescent="0.35">
      <c r="A80" s="248" t="s">
        <v>43</v>
      </c>
      <c r="B80" s="248"/>
      <c r="C80" s="248"/>
      <c r="D80" s="243" t="s">
        <v>297</v>
      </c>
      <c r="E80" s="243"/>
      <c r="F80" s="243" t="s">
        <v>40</v>
      </c>
      <c r="G80" s="243"/>
      <c r="H80" s="243" t="s">
        <v>44</v>
      </c>
      <c r="I80" s="243"/>
      <c r="J80" s="243" t="s">
        <v>45</v>
      </c>
      <c r="K80" s="243"/>
      <c r="N80" s="191"/>
    </row>
    <row r="81" spans="1:14" ht="31.5" customHeight="1" thickTop="1" thickBot="1" x14ac:dyDescent="0.35">
      <c r="A81" s="249" t="s">
        <v>46</v>
      </c>
      <c r="B81" s="249"/>
      <c r="C81" s="249"/>
      <c r="D81" s="244">
        <v>90</v>
      </c>
      <c r="E81" s="244"/>
      <c r="F81" s="274" t="s">
        <v>47</v>
      </c>
      <c r="G81" s="274"/>
      <c r="H81" s="246" t="s">
        <v>48</v>
      </c>
      <c r="I81" s="246"/>
      <c r="J81" s="267" t="s">
        <v>9</v>
      </c>
      <c r="K81" s="267"/>
      <c r="N81" s="190"/>
    </row>
    <row r="82" spans="1:14" ht="32.1" customHeight="1" x14ac:dyDescent="0.3">
      <c r="A82" s="242"/>
      <c r="B82" s="242"/>
      <c r="C82" s="242"/>
      <c r="D82" s="245"/>
      <c r="E82" s="245"/>
      <c r="F82" s="255"/>
      <c r="G82" s="255"/>
      <c r="H82" s="247"/>
      <c r="I82" s="247"/>
      <c r="J82" s="256"/>
      <c r="K82" s="256"/>
    </row>
    <row r="83" spans="1:14" ht="32.1" customHeight="1" x14ac:dyDescent="0.3">
      <c r="A83" s="242"/>
      <c r="B83" s="242"/>
      <c r="C83" s="242"/>
      <c r="D83" s="245"/>
      <c r="E83" s="245"/>
      <c r="F83" s="255"/>
      <c r="G83" s="255"/>
      <c r="H83" s="247"/>
      <c r="I83" s="247"/>
      <c r="J83" s="256"/>
      <c r="K83" s="256"/>
    </row>
    <row r="86" spans="1:14" ht="15.6" x14ac:dyDescent="0.3">
      <c r="A86" s="201" t="s">
        <v>49</v>
      </c>
      <c r="B86" s="241" t="s">
        <v>283</v>
      </c>
      <c r="C86" s="241"/>
      <c r="D86" s="241"/>
      <c r="E86" s="241"/>
      <c r="F86" s="241"/>
      <c r="G86" s="241"/>
      <c r="H86" s="241"/>
      <c r="I86" s="241"/>
      <c r="J86" s="241"/>
      <c r="K86" s="202" t="s">
        <v>42</v>
      </c>
    </row>
    <row r="87" spans="1:14" ht="66" customHeight="1" x14ac:dyDescent="0.3">
      <c r="A87" s="198" t="s">
        <v>37</v>
      </c>
      <c r="B87" s="199" t="s">
        <v>50</v>
      </c>
      <c r="C87" s="199" t="s">
        <v>298</v>
      </c>
      <c r="D87" s="200" t="s">
        <v>51</v>
      </c>
      <c r="E87" s="199" t="s">
        <v>296</v>
      </c>
      <c r="F87" s="200" t="s">
        <v>295</v>
      </c>
      <c r="G87" s="199" t="s">
        <v>52</v>
      </c>
      <c r="H87" s="199" t="s">
        <v>284</v>
      </c>
      <c r="I87" s="199" t="s">
        <v>291</v>
      </c>
      <c r="J87" s="199" t="s">
        <v>292</v>
      </c>
      <c r="K87" s="199" t="s">
        <v>293</v>
      </c>
    </row>
    <row r="88" spans="1:14" ht="32.1" customHeight="1" x14ac:dyDescent="0.3">
      <c r="A88" s="216" t="s">
        <v>53</v>
      </c>
      <c r="B88" s="217">
        <v>95</v>
      </c>
      <c r="C88" s="217">
        <v>1.1599999999999999</v>
      </c>
      <c r="D88" s="217">
        <v>1.1200000000000001</v>
      </c>
      <c r="E88" s="217">
        <v>0.88</v>
      </c>
      <c r="F88" s="217">
        <v>0.84</v>
      </c>
      <c r="G88" s="217">
        <f>(C88-D88)+(E88-F88)</f>
        <v>7.9999999999999849E-2</v>
      </c>
      <c r="H88" s="218" t="str">
        <f>"$"&amp;FIXED(ROUND(125*G88,Setup!$B$3),Setup!$B$3)</f>
        <v>$10.00</v>
      </c>
      <c r="I88" s="218">
        <v>8</v>
      </c>
      <c r="J88" s="219">
        <f>H88+I88</f>
        <v>18</v>
      </c>
      <c r="K88" s="218">
        <f>J88*B88</f>
        <v>1710</v>
      </c>
      <c r="L88" s="83"/>
    </row>
    <row r="89" spans="1:14" ht="32.1" customHeight="1" x14ac:dyDescent="0.3">
      <c r="A89" s="82"/>
      <c r="B89" s="84" t="str">
        <f>IF(C10="","",D60)</f>
        <v/>
      </c>
      <c r="C89" s="84" t="str">
        <f>IF(OR(C8="", ISNA(C8)),"",C22)</f>
        <v/>
      </c>
      <c r="D89" s="84" t="str">
        <f>IFERROR(IF(C54&lt;&gt;0,C54,""),"")</f>
        <v/>
      </c>
      <c r="E89" s="84" t="str">
        <f>IFERROR(C23,"")</f>
        <v/>
      </c>
      <c r="F89" s="84" t="str">
        <f>IFERROR(IF(C55&lt;&gt;0,C55,""),"")</f>
        <v/>
      </c>
      <c r="G89" s="84" t="str">
        <f>IFERROR((C89-D89)+(E89-F89),"")</f>
        <v/>
      </c>
      <c r="H89" s="85" t="str">
        <f>IFERROR("$"&amp;FIXED(ROUND(G89*$D$50,Setup!$B$3),Setup!$B$3),"")</f>
        <v/>
      </c>
      <c r="I89" s="85" t="str">
        <f>D49</f>
        <v/>
      </c>
      <c r="J89" s="86" t="str">
        <f>IFERROR(IF(D59&lt;&gt;0,D59,""),"")</f>
        <v/>
      </c>
      <c r="K89" s="85" t="str">
        <f>IFERROR(IF(D61&lt;&gt;0,D61,""),"")</f>
        <v/>
      </c>
      <c r="L89" s="87" t="s">
        <v>9</v>
      </c>
    </row>
    <row r="90" spans="1:14" ht="32.1" customHeight="1" x14ac:dyDescent="0.3">
      <c r="A90" s="82"/>
      <c r="B90" s="84" t="str">
        <f>IF(C10="","",F60)</f>
        <v/>
      </c>
      <c r="C90" s="84" t="str">
        <f>IF(OR(C8="", ISNA(C8)),"",D22)</f>
        <v/>
      </c>
      <c r="D90" s="84" t="str">
        <f>IFERROR(IF(C54&lt;&gt;0,C54,""),"")</f>
        <v/>
      </c>
      <c r="E90" s="84" t="str">
        <f>IFERROR(D23,"")</f>
        <v/>
      </c>
      <c r="F90" s="84" t="str">
        <f>IFERROR(IF(C55&lt;&gt;0,C55,""),"")</f>
        <v/>
      </c>
      <c r="G90" s="84" t="str">
        <f>IFERROR((C90-D90)+(E90-F90),"")</f>
        <v/>
      </c>
      <c r="H90" s="85" t="str">
        <f>IFERROR("$"&amp;FIXED(ROUND(G90*$D$50,Setup!$B$3),Setup!$B$3),"")</f>
        <v/>
      </c>
      <c r="I90" s="85" t="str">
        <f>D49</f>
        <v/>
      </c>
      <c r="J90" s="86" t="str">
        <f>IFERROR(IF(F59&lt;&gt;0,F59,""),"")</f>
        <v/>
      </c>
      <c r="K90" s="85" t="str">
        <f>IFERROR(IF(F61&lt;&gt;0,F61,""),"")</f>
        <v/>
      </c>
      <c r="L90" s="87" t="s">
        <v>10</v>
      </c>
    </row>
    <row r="91" spans="1:14" x14ac:dyDescent="0.3">
      <c r="A91" s="8" t="s">
        <v>319</v>
      </c>
      <c r="J91" s="88"/>
    </row>
    <row r="116" spans="15:27" ht="15.75" customHeight="1" x14ac:dyDescent="0.3">
      <c r="T116" s="89"/>
    </row>
    <row r="117" spans="15:27" ht="27" customHeight="1" x14ac:dyDescent="0.3">
      <c r="S117" s="261" t="s">
        <v>54</v>
      </c>
      <c r="T117" s="261"/>
      <c r="U117" s="263" t="s">
        <v>55</v>
      </c>
      <c r="V117" s="264"/>
      <c r="W117" s="261" t="s">
        <v>315</v>
      </c>
      <c r="X117" s="261"/>
      <c r="Y117" s="261" t="s">
        <v>316</v>
      </c>
      <c r="Z117" s="261"/>
    </row>
    <row r="118" spans="15:27" x14ac:dyDescent="0.3">
      <c r="S118" s="261"/>
      <c r="T118" s="261"/>
      <c r="U118" s="265"/>
      <c r="V118" s="266"/>
      <c r="W118" s="261"/>
      <c r="X118" s="261"/>
      <c r="Y118" s="261"/>
      <c r="Z118" s="261"/>
    </row>
    <row r="119" spans="15:27" ht="24.6" customHeight="1" x14ac:dyDescent="0.3">
      <c r="O119" s="90" t="s">
        <v>56</v>
      </c>
      <c r="P119" s="90" t="s">
        <v>57</v>
      </c>
      <c r="Q119" s="90" t="s">
        <v>58</v>
      </c>
      <c r="R119" s="91" t="s">
        <v>59</v>
      </c>
      <c r="S119" s="90" t="s">
        <v>60</v>
      </c>
      <c r="T119" s="90" t="s">
        <v>61</v>
      </c>
      <c r="U119" s="90" t="s">
        <v>60</v>
      </c>
      <c r="V119" s="90" t="s">
        <v>61</v>
      </c>
      <c r="W119" s="90" t="s">
        <v>62</v>
      </c>
      <c r="X119" s="90" t="s">
        <v>300</v>
      </c>
      <c r="Y119" s="90" t="s">
        <v>62</v>
      </c>
      <c r="Z119" s="90" t="s">
        <v>300</v>
      </c>
      <c r="AA119" s="90" t="s">
        <v>33</v>
      </c>
    </row>
    <row r="120" spans="15:27" x14ac:dyDescent="0.3">
      <c r="O120" s="92" t="s">
        <v>9</v>
      </c>
      <c r="P120" s="93"/>
      <c r="Q120" s="93"/>
      <c r="R120" s="94"/>
      <c r="S120" s="93"/>
      <c r="T120" s="93"/>
      <c r="U120" s="93"/>
      <c r="V120" s="93"/>
      <c r="W120" s="93"/>
      <c r="X120" s="93"/>
      <c r="Y120" s="93"/>
      <c r="Z120" s="93"/>
      <c r="AA120" s="93"/>
    </row>
    <row r="121" spans="15:27" x14ac:dyDescent="0.3">
      <c r="O121" s="95" t="s">
        <v>63</v>
      </c>
      <c r="P121" s="52">
        <v>0</v>
      </c>
      <c r="Q121" s="52">
        <v>149.99</v>
      </c>
      <c r="R121" s="52">
        <f>IF(AND($C$8=O121,$C$10&gt;=P121,$C$10&lt;Q121),1,0)</f>
        <v>0</v>
      </c>
      <c r="S121" s="96">
        <f>12/10.1</f>
        <v>1.1881188118811881</v>
      </c>
      <c r="T121" s="96">
        <f>12/13.7</f>
        <v>0.87591240875912413</v>
      </c>
      <c r="U121" s="96">
        <v>1.1599999999999999</v>
      </c>
      <c r="V121" s="96">
        <v>0.88</v>
      </c>
      <c r="W121" s="97">
        <v>125</v>
      </c>
      <c r="X121" s="97">
        <v>8</v>
      </c>
      <c r="Y121" s="97">
        <v>90</v>
      </c>
      <c r="Z121" s="97">
        <v>4</v>
      </c>
      <c r="AA121" s="52" t="s">
        <v>64</v>
      </c>
    </row>
    <row r="122" spans="15:27" x14ac:dyDescent="0.3">
      <c r="O122" s="95" t="s">
        <v>65</v>
      </c>
      <c r="P122" s="52">
        <v>150</v>
      </c>
      <c r="Q122" s="52">
        <v>1000000</v>
      </c>
      <c r="R122" s="52">
        <f t="shared" ref="R122:R123" si="0">IF(AND($C$8=O122,$C$10&gt;=P122,$C$10&lt;Q122),1,0)</f>
        <v>0</v>
      </c>
      <c r="S122" s="96">
        <f>12/10.1</f>
        <v>1.1881188118811881</v>
      </c>
      <c r="T122" s="96">
        <f>12/14</f>
        <v>0.8571428571428571</v>
      </c>
      <c r="U122" s="96">
        <v>1.1599999999999999</v>
      </c>
      <c r="V122" s="96">
        <v>0.86</v>
      </c>
      <c r="W122" s="97">
        <v>125</v>
      </c>
      <c r="X122" s="97">
        <v>8</v>
      </c>
      <c r="Y122" s="97">
        <v>90</v>
      </c>
      <c r="Z122" s="97">
        <v>4</v>
      </c>
      <c r="AA122" s="52" t="s">
        <v>66</v>
      </c>
    </row>
    <row r="123" spans="15:27" x14ac:dyDescent="0.3">
      <c r="O123" s="95" t="s">
        <v>67</v>
      </c>
      <c r="P123" s="52">
        <v>0</v>
      </c>
      <c r="Q123" s="52">
        <v>74.989999999999995</v>
      </c>
      <c r="R123" s="52">
        <f t="shared" si="0"/>
        <v>0</v>
      </c>
      <c r="S123" s="96">
        <v>0.75</v>
      </c>
      <c r="T123" s="96">
        <v>0.6</v>
      </c>
      <c r="U123" s="96">
        <v>0.72</v>
      </c>
      <c r="V123" s="96">
        <v>0.6</v>
      </c>
      <c r="W123" s="97">
        <v>125</v>
      </c>
      <c r="X123" s="97">
        <v>8</v>
      </c>
      <c r="Y123" s="97">
        <v>90</v>
      </c>
      <c r="Z123" s="97">
        <v>4</v>
      </c>
      <c r="AA123" s="52" t="s">
        <v>68</v>
      </c>
    </row>
    <row r="124" spans="15:27" x14ac:dyDescent="0.3">
      <c r="O124" s="95" t="s">
        <v>69</v>
      </c>
      <c r="P124" s="52">
        <v>75</v>
      </c>
      <c r="Q124" s="52">
        <v>149.99</v>
      </c>
      <c r="R124" s="52">
        <f t="shared" ref="R124" si="1">IF(AND($C$8=O124,$C$10&gt;=P124,$C$10&lt;Q124),1,0)</f>
        <v>0</v>
      </c>
      <c r="S124" s="96">
        <v>0.72</v>
      </c>
      <c r="T124" s="96">
        <v>0.56000000000000005</v>
      </c>
      <c r="U124" s="96">
        <v>0.69</v>
      </c>
      <c r="V124" s="96">
        <v>0.56000000000000005</v>
      </c>
      <c r="W124" s="97">
        <v>125</v>
      </c>
      <c r="X124" s="97">
        <v>8</v>
      </c>
      <c r="Y124" s="97">
        <v>90</v>
      </c>
      <c r="Z124" s="97">
        <v>4</v>
      </c>
      <c r="AA124" s="52" t="s">
        <v>70</v>
      </c>
    </row>
    <row r="125" spans="15:27" x14ac:dyDescent="0.3">
      <c r="O125" s="95" t="s">
        <v>71</v>
      </c>
      <c r="P125" s="52">
        <v>150</v>
      </c>
      <c r="Q125" s="52">
        <v>299.99</v>
      </c>
      <c r="R125" s="52">
        <f>IF(AND($C$8=O125,$C$10&gt;=P125,$C$10&lt;Q125),1,0)</f>
        <v>0</v>
      </c>
      <c r="S125" s="96">
        <v>0.66</v>
      </c>
      <c r="T125" s="96">
        <v>0.54</v>
      </c>
      <c r="U125" s="96">
        <v>0.63</v>
      </c>
      <c r="V125" s="96">
        <v>0.54</v>
      </c>
      <c r="W125" s="97">
        <v>125</v>
      </c>
      <c r="X125" s="97">
        <v>8</v>
      </c>
      <c r="Y125" s="97">
        <v>90</v>
      </c>
      <c r="Z125" s="97">
        <v>4</v>
      </c>
      <c r="AA125" s="52" t="s">
        <v>72</v>
      </c>
    </row>
    <row r="126" spans="15:27" x14ac:dyDescent="0.3">
      <c r="O126" s="95" t="s">
        <v>73</v>
      </c>
      <c r="P126" s="52">
        <v>300</v>
      </c>
      <c r="Q126" s="52">
        <v>599.99</v>
      </c>
      <c r="R126" s="52">
        <f>IF(AND($C$8=O126,$C$10&gt;=P126,$C$10&lt;Q126),1,0)</f>
        <v>0</v>
      </c>
      <c r="S126" s="96">
        <v>0.61</v>
      </c>
      <c r="T126" s="96">
        <v>0.52</v>
      </c>
      <c r="U126" s="96">
        <v>0.57999999999999996</v>
      </c>
      <c r="V126" s="96">
        <v>0.52</v>
      </c>
      <c r="W126" s="97">
        <v>125</v>
      </c>
      <c r="X126" s="97">
        <v>8</v>
      </c>
      <c r="Y126" s="97">
        <v>90</v>
      </c>
      <c r="Z126" s="97">
        <v>4</v>
      </c>
      <c r="AA126" s="52" t="s">
        <v>74</v>
      </c>
    </row>
    <row r="127" spans="15:27" x14ac:dyDescent="0.3">
      <c r="O127" s="95" t="s">
        <v>75</v>
      </c>
      <c r="P127" s="52">
        <v>600</v>
      </c>
      <c r="Q127" s="52">
        <v>1000000</v>
      </c>
      <c r="R127" s="52">
        <f>IF(AND($C$8=O127,$C$10&gt;=P127,$C$10&lt;Q127),1,0)</f>
        <v>0</v>
      </c>
      <c r="S127" s="96">
        <v>0.56000000000000005</v>
      </c>
      <c r="T127" s="96">
        <v>0.5</v>
      </c>
      <c r="U127" s="96">
        <v>0.53</v>
      </c>
      <c r="V127" s="96">
        <v>0.5</v>
      </c>
      <c r="W127" s="97">
        <v>125</v>
      </c>
      <c r="X127" s="97">
        <v>8</v>
      </c>
      <c r="Y127" s="97">
        <v>90</v>
      </c>
      <c r="Z127" s="97">
        <v>4</v>
      </c>
      <c r="AA127" s="52" t="s">
        <v>76</v>
      </c>
    </row>
    <row r="128" spans="15:27" x14ac:dyDescent="0.3">
      <c r="O128" s="95" t="s">
        <v>77</v>
      </c>
      <c r="P128" s="52">
        <v>0</v>
      </c>
      <c r="Q128" s="52">
        <v>149.99</v>
      </c>
      <c r="R128" s="52">
        <f t="shared" ref="R128" si="2">IF(AND($C$8=O128,$C$10&gt;=P128,$C$10&lt;Q128),1,0)</f>
        <v>0</v>
      </c>
      <c r="S128" s="96">
        <v>0.61</v>
      </c>
      <c r="T128" s="96">
        <v>0.55000000000000004</v>
      </c>
      <c r="U128" s="96">
        <v>0.57999999999999996</v>
      </c>
      <c r="V128" s="96">
        <v>0.55000000000000004</v>
      </c>
      <c r="W128" s="97">
        <v>125</v>
      </c>
      <c r="X128" s="97">
        <v>8</v>
      </c>
      <c r="Y128" s="97">
        <v>90</v>
      </c>
      <c r="Z128" s="97">
        <v>4</v>
      </c>
      <c r="AA128" s="52" t="s">
        <v>78</v>
      </c>
    </row>
    <row r="129" spans="15:27" x14ac:dyDescent="0.3">
      <c r="O129" s="95" t="s">
        <v>79</v>
      </c>
      <c r="P129" s="52">
        <v>150</v>
      </c>
      <c r="Q129" s="52">
        <v>299.99</v>
      </c>
      <c r="R129" s="52">
        <f>IF(AND($C$8=O129,$C$10&gt;=P129,$C$10&lt;Q129),1,0)</f>
        <v>0</v>
      </c>
      <c r="S129" s="96">
        <v>0.61</v>
      </c>
      <c r="T129" s="96">
        <v>0.55000000000000004</v>
      </c>
      <c r="U129" s="96">
        <v>0.57999999999999996</v>
      </c>
      <c r="V129" s="96">
        <v>0.55000000000000004</v>
      </c>
      <c r="W129" s="97">
        <v>125</v>
      </c>
      <c r="X129" s="97">
        <v>8</v>
      </c>
      <c r="Y129" s="97">
        <v>90</v>
      </c>
      <c r="Z129" s="97">
        <v>4</v>
      </c>
      <c r="AA129" s="52" t="s">
        <v>80</v>
      </c>
    </row>
    <row r="130" spans="15:27" x14ac:dyDescent="0.3">
      <c r="O130" s="95" t="s">
        <v>81</v>
      </c>
      <c r="P130" s="52">
        <v>300</v>
      </c>
      <c r="Q130" s="52">
        <v>399.99</v>
      </c>
      <c r="R130" s="52">
        <f t="shared" ref="R130:R131" si="3">IF(AND($C$8=O130,$C$10&gt;=P130,$C$10&lt;Q130),1,0)</f>
        <v>0</v>
      </c>
      <c r="S130" s="96">
        <v>0.56000000000000005</v>
      </c>
      <c r="T130" s="96">
        <v>0.52</v>
      </c>
      <c r="U130" s="96">
        <v>0.53</v>
      </c>
      <c r="V130" s="96">
        <v>0.52</v>
      </c>
      <c r="W130" s="97">
        <v>125</v>
      </c>
      <c r="X130" s="97">
        <v>8</v>
      </c>
      <c r="Y130" s="97">
        <v>90</v>
      </c>
      <c r="Z130" s="97">
        <v>4</v>
      </c>
      <c r="AA130" s="52" t="s">
        <v>82</v>
      </c>
    </row>
    <row r="131" spans="15:27" x14ac:dyDescent="0.3">
      <c r="O131" s="95" t="s">
        <v>83</v>
      </c>
      <c r="P131" s="52">
        <v>400</v>
      </c>
      <c r="Q131" s="52">
        <v>599.99</v>
      </c>
      <c r="R131" s="52">
        <f t="shared" si="3"/>
        <v>0</v>
      </c>
      <c r="S131" s="96">
        <v>0.56000000000000005</v>
      </c>
      <c r="T131" s="96">
        <v>0.5</v>
      </c>
      <c r="U131" s="96">
        <v>0.53</v>
      </c>
      <c r="V131" s="96">
        <v>0.5</v>
      </c>
      <c r="W131" s="97">
        <v>125</v>
      </c>
      <c r="X131" s="97">
        <v>8</v>
      </c>
      <c r="Y131" s="97">
        <v>90</v>
      </c>
      <c r="Z131" s="97">
        <v>4</v>
      </c>
      <c r="AA131" s="52" t="s">
        <v>84</v>
      </c>
    </row>
    <row r="132" spans="15:27" x14ac:dyDescent="0.3">
      <c r="O132" s="95" t="s">
        <v>85</v>
      </c>
      <c r="P132" s="52">
        <v>600</v>
      </c>
      <c r="Q132" s="52">
        <v>1000000</v>
      </c>
      <c r="R132" s="52">
        <f>IF(AND($C$8=O132,$C$10&gt;=P132,$C$10&lt;Q132),1,0)</f>
        <v>0</v>
      </c>
      <c r="S132" s="96">
        <v>0.56000000000000005</v>
      </c>
      <c r="T132" s="96">
        <v>0.5</v>
      </c>
      <c r="U132" s="96">
        <v>0.53</v>
      </c>
      <c r="V132" s="96">
        <v>0.5</v>
      </c>
      <c r="W132" s="97">
        <v>125</v>
      </c>
      <c r="X132" s="97">
        <v>8</v>
      </c>
      <c r="Y132" s="97">
        <v>90</v>
      </c>
      <c r="Z132" s="97">
        <v>4</v>
      </c>
      <c r="AA132" s="52" t="s">
        <v>86</v>
      </c>
    </row>
    <row r="133" spans="15:27" x14ac:dyDescent="0.3">
      <c r="O133" s="92" t="s">
        <v>10</v>
      </c>
      <c r="P133" s="93"/>
      <c r="Q133" s="93"/>
      <c r="R133" s="94"/>
      <c r="S133" s="93"/>
      <c r="T133" s="93"/>
      <c r="U133" s="93"/>
      <c r="V133" s="93"/>
      <c r="W133" s="93"/>
      <c r="X133" s="93"/>
      <c r="Y133" s="93"/>
      <c r="Z133" s="93"/>
      <c r="AA133" s="93"/>
    </row>
    <row r="134" spans="15:27" x14ac:dyDescent="0.3">
      <c r="O134" s="95" t="s">
        <v>63</v>
      </c>
      <c r="P134" s="52">
        <v>0</v>
      </c>
      <c r="Q134" s="52">
        <v>149.99</v>
      </c>
      <c r="R134" s="52">
        <f>IF(AND($C$8=O134,$C$10&gt;=P134,$C$10&lt;Q134),1,0)</f>
        <v>0</v>
      </c>
      <c r="S134" s="96">
        <f>12/9.7</f>
        <v>1.2371134020618557</v>
      </c>
      <c r="T134" s="96">
        <f>12/15.8</f>
        <v>0.75949367088607589</v>
      </c>
      <c r="U134" s="96">
        <v>1.24</v>
      </c>
      <c r="V134" s="96">
        <v>0.73</v>
      </c>
      <c r="W134" s="97">
        <v>125</v>
      </c>
      <c r="X134" s="97">
        <v>8</v>
      </c>
      <c r="Y134" s="97">
        <v>90</v>
      </c>
      <c r="Z134" s="97">
        <v>4</v>
      </c>
      <c r="AA134" s="52" t="s">
        <v>87</v>
      </c>
    </row>
    <row r="135" spans="15:27" x14ac:dyDescent="0.3">
      <c r="O135" s="95" t="s">
        <v>65</v>
      </c>
      <c r="P135" s="52">
        <v>150</v>
      </c>
      <c r="Q135" s="52">
        <v>1000000</v>
      </c>
      <c r="R135" s="52">
        <f t="shared" ref="R135:R137" si="4">IF(AND($C$8=O135,$C$10&gt;=P135,$C$10&lt;Q135),1,0)</f>
        <v>0</v>
      </c>
      <c r="S135" s="96">
        <f>12/9.7</f>
        <v>1.2371134020618557</v>
      </c>
      <c r="T135" s="96">
        <f>12/16.1</f>
        <v>0.74534161490683226</v>
      </c>
      <c r="U135" s="96">
        <v>1.24</v>
      </c>
      <c r="V135" s="96">
        <v>0.72</v>
      </c>
      <c r="W135" s="97">
        <v>125</v>
      </c>
      <c r="X135" s="97">
        <v>8</v>
      </c>
      <c r="Y135" s="97">
        <v>90</v>
      </c>
      <c r="Z135" s="97">
        <v>4</v>
      </c>
      <c r="AA135" s="52" t="s">
        <v>88</v>
      </c>
    </row>
    <row r="136" spans="15:27" x14ac:dyDescent="0.3">
      <c r="O136" s="95" t="s">
        <v>67</v>
      </c>
      <c r="P136" s="52">
        <v>0</v>
      </c>
      <c r="Q136" s="52">
        <v>74.989999999999995</v>
      </c>
      <c r="R136" s="52">
        <f t="shared" si="4"/>
        <v>0</v>
      </c>
      <c r="S136" s="96">
        <v>0.78</v>
      </c>
      <c r="T136" s="96">
        <v>0.5</v>
      </c>
      <c r="U136" s="96">
        <v>0.78</v>
      </c>
      <c r="V136" s="96">
        <v>0.47</v>
      </c>
      <c r="W136" s="97">
        <v>125</v>
      </c>
      <c r="X136" s="97">
        <v>8</v>
      </c>
      <c r="Y136" s="97">
        <v>90</v>
      </c>
      <c r="Z136" s="97">
        <v>4</v>
      </c>
      <c r="AA136" s="52" t="s">
        <v>89</v>
      </c>
    </row>
    <row r="137" spans="15:27" x14ac:dyDescent="0.3">
      <c r="O137" s="95" t="s">
        <v>69</v>
      </c>
      <c r="P137" s="52">
        <v>75</v>
      </c>
      <c r="Q137" s="52">
        <v>149.99</v>
      </c>
      <c r="R137" s="52">
        <f t="shared" si="4"/>
        <v>0</v>
      </c>
      <c r="S137" s="96">
        <v>0.75</v>
      </c>
      <c r="T137" s="96">
        <v>0.49</v>
      </c>
      <c r="U137" s="96">
        <v>0.75</v>
      </c>
      <c r="V137" s="96">
        <v>0.46</v>
      </c>
      <c r="W137" s="97">
        <v>125</v>
      </c>
      <c r="X137" s="97">
        <v>8</v>
      </c>
      <c r="Y137" s="97">
        <v>90</v>
      </c>
      <c r="Z137" s="97">
        <v>4</v>
      </c>
      <c r="AA137" s="52" t="s">
        <v>90</v>
      </c>
    </row>
    <row r="138" spans="15:27" x14ac:dyDescent="0.3">
      <c r="O138" s="95" t="s">
        <v>71</v>
      </c>
      <c r="P138" s="52">
        <v>150</v>
      </c>
      <c r="Q138" s="52">
        <v>299.99</v>
      </c>
      <c r="R138" s="52">
        <f>IF(AND($C$8=O138,$C$10&gt;=P138,$C$10&lt;Q138),1,0)</f>
        <v>0</v>
      </c>
      <c r="S138" s="96">
        <v>0.68</v>
      </c>
      <c r="T138" s="96">
        <v>0.44</v>
      </c>
      <c r="U138" s="96">
        <v>0.68</v>
      </c>
      <c r="V138" s="96">
        <v>0.41</v>
      </c>
      <c r="W138" s="97">
        <v>125</v>
      </c>
      <c r="X138" s="97">
        <v>8</v>
      </c>
      <c r="Y138" s="97">
        <v>90</v>
      </c>
      <c r="Z138" s="97">
        <v>4</v>
      </c>
      <c r="AA138" s="52" t="s">
        <v>91</v>
      </c>
    </row>
    <row r="139" spans="15:27" x14ac:dyDescent="0.3">
      <c r="O139" s="95" t="s">
        <v>73</v>
      </c>
      <c r="P139" s="52">
        <v>300</v>
      </c>
      <c r="Q139" s="52">
        <v>599.99</v>
      </c>
      <c r="R139" s="52">
        <f>IF(AND($C$8=O139,$C$10&gt;=P139,$C$10&lt;Q139),1,0)</f>
        <v>0</v>
      </c>
      <c r="S139" s="96">
        <v>0.625</v>
      </c>
      <c r="T139" s="96">
        <v>0.41</v>
      </c>
      <c r="U139" s="96">
        <v>0.625</v>
      </c>
      <c r="V139" s="96">
        <v>0.38</v>
      </c>
      <c r="W139" s="97">
        <v>125</v>
      </c>
      <c r="X139" s="97">
        <v>8</v>
      </c>
      <c r="Y139" s="97">
        <v>90</v>
      </c>
      <c r="Z139" s="97">
        <v>4</v>
      </c>
      <c r="AA139" s="52" t="s">
        <v>92</v>
      </c>
    </row>
    <row r="140" spans="15:27" x14ac:dyDescent="0.3">
      <c r="O140" s="95" t="s">
        <v>75</v>
      </c>
      <c r="P140" s="52">
        <v>600</v>
      </c>
      <c r="Q140" s="52">
        <v>1000000</v>
      </c>
      <c r="R140" s="52">
        <f>IF(AND($C$8=O140,$C$10&gt;=P140,$C$10&lt;Q140),1,0)</f>
        <v>0</v>
      </c>
      <c r="S140" s="96">
        <v>0.58499999999999996</v>
      </c>
      <c r="T140" s="96">
        <v>0.38</v>
      </c>
      <c r="U140" s="96">
        <v>0.58499999999999996</v>
      </c>
      <c r="V140" s="96">
        <v>0.35</v>
      </c>
      <c r="W140" s="97">
        <v>125</v>
      </c>
      <c r="X140" s="97">
        <v>8</v>
      </c>
      <c r="Y140" s="97">
        <v>90</v>
      </c>
      <c r="Z140" s="97">
        <v>4</v>
      </c>
      <c r="AA140" s="52" t="s">
        <v>93</v>
      </c>
    </row>
    <row r="141" spans="15:27" x14ac:dyDescent="0.3">
      <c r="O141" s="95" t="s">
        <v>77</v>
      </c>
      <c r="P141" s="52">
        <v>0</v>
      </c>
      <c r="Q141" s="52">
        <v>149.99</v>
      </c>
      <c r="R141" s="52">
        <f t="shared" ref="R141" si="5">IF(AND($C$8=O141,$C$10&gt;=P141,$C$10&lt;Q141),1,0)</f>
        <v>0</v>
      </c>
      <c r="S141" s="96">
        <v>0.69499999999999995</v>
      </c>
      <c r="T141" s="96">
        <v>0.44</v>
      </c>
      <c r="U141" s="96">
        <v>0.69499999999999995</v>
      </c>
      <c r="V141" s="96">
        <v>0.41</v>
      </c>
      <c r="W141" s="97">
        <v>125</v>
      </c>
      <c r="X141" s="97">
        <v>8</v>
      </c>
      <c r="Y141" s="97">
        <v>90</v>
      </c>
      <c r="Z141" s="97">
        <v>4</v>
      </c>
      <c r="AA141" s="52" t="s">
        <v>94</v>
      </c>
    </row>
    <row r="142" spans="15:27" x14ac:dyDescent="0.3">
      <c r="O142" s="95" t="s">
        <v>79</v>
      </c>
      <c r="P142" s="52">
        <v>150</v>
      </c>
      <c r="Q142" s="52">
        <v>299.99</v>
      </c>
      <c r="R142" s="52">
        <f>IF(AND($C$8=O142,$C$10&gt;=P142,$C$10&lt;Q142),1,0)</f>
        <v>0</v>
      </c>
      <c r="S142" s="96">
        <v>0.63500000000000001</v>
      </c>
      <c r="T142" s="96">
        <v>0.4</v>
      </c>
      <c r="U142" s="96">
        <v>0.63500000000000001</v>
      </c>
      <c r="V142" s="96">
        <v>0.37</v>
      </c>
      <c r="W142" s="97">
        <v>125</v>
      </c>
      <c r="X142" s="97">
        <v>8</v>
      </c>
      <c r="Y142" s="97">
        <v>90</v>
      </c>
      <c r="Z142" s="97">
        <v>4</v>
      </c>
      <c r="AA142" s="52" t="s">
        <v>95</v>
      </c>
    </row>
    <row r="143" spans="15:27" x14ac:dyDescent="0.3">
      <c r="O143" s="95" t="s">
        <v>81</v>
      </c>
      <c r="P143" s="52">
        <v>300</v>
      </c>
      <c r="Q143" s="52">
        <v>399.99</v>
      </c>
      <c r="R143" s="52">
        <f t="shared" ref="R143:R144" si="6">IF(AND($C$8=O143,$C$10&gt;=P143,$C$10&lt;Q143),1,0)</f>
        <v>0</v>
      </c>
      <c r="S143" s="96">
        <v>0.59499999999999997</v>
      </c>
      <c r="T143" s="96">
        <v>0.39</v>
      </c>
      <c r="U143" s="96">
        <v>0.59499999999999997</v>
      </c>
      <c r="V143" s="96">
        <v>0.36</v>
      </c>
      <c r="W143" s="97">
        <v>125</v>
      </c>
      <c r="X143" s="97">
        <v>8</v>
      </c>
      <c r="Y143" s="97">
        <v>90</v>
      </c>
      <c r="Z143" s="97">
        <v>4</v>
      </c>
      <c r="AA143" s="52" t="s">
        <v>96</v>
      </c>
    </row>
    <row r="144" spans="15:27" x14ac:dyDescent="0.3">
      <c r="O144" s="95" t="s">
        <v>83</v>
      </c>
      <c r="P144" s="52">
        <v>400</v>
      </c>
      <c r="Q144" s="52">
        <v>599.99</v>
      </c>
      <c r="R144" s="52">
        <f t="shared" si="6"/>
        <v>0</v>
      </c>
      <c r="S144" s="96">
        <v>0.58499999999999996</v>
      </c>
      <c r="T144" s="96">
        <v>0.38</v>
      </c>
      <c r="U144" s="96">
        <v>0.58499999999999996</v>
      </c>
      <c r="V144" s="96">
        <v>0.35</v>
      </c>
      <c r="W144" s="97">
        <v>125</v>
      </c>
      <c r="X144" s="97">
        <v>8</v>
      </c>
      <c r="Y144" s="97">
        <v>90</v>
      </c>
      <c r="Z144" s="97">
        <v>4</v>
      </c>
      <c r="AA144" s="52" t="s">
        <v>97</v>
      </c>
    </row>
    <row r="145" spans="14:27" x14ac:dyDescent="0.3">
      <c r="O145" s="95" t="s">
        <v>85</v>
      </c>
      <c r="P145" s="52">
        <v>600</v>
      </c>
      <c r="Q145" s="52">
        <v>1000000</v>
      </c>
      <c r="R145" s="52">
        <f>IF(AND($C$8=O145,$C$10&gt;=P145,$C$10&lt;Q145),1,0)</f>
        <v>0</v>
      </c>
      <c r="S145" s="96">
        <v>0.58499999999999996</v>
      </c>
      <c r="T145" s="96">
        <v>0.38</v>
      </c>
      <c r="U145" s="96">
        <v>0.58499999999999996</v>
      </c>
      <c r="V145" s="96">
        <v>0.35</v>
      </c>
      <c r="W145" s="97">
        <v>125</v>
      </c>
      <c r="X145" s="97">
        <v>8</v>
      </c>
      <c r="Y145" s="97">
        <v>90</v>
      </c>
      <c r="Z145" s="97">
        <v>4</v>
      </c>
      <c r="AA145" s="52" t="s">
        <v>98</v>
      </c>
    </row>
    <row r="153" spans="14:27" x14ac:dyDescent="0.3">
      <c r="O153" s="98" t="s">
        <v>99</v>
      </c>
      <c r="P153" s="238" t="s">
        <v>100</v>
      </c>
      <c r="Q153" s="238" t="s">
        <v>101</v>
      </c>
      <c r="R153" s="238" t="s">
        <v>102</v>
      </c>
      <c r="S153" s="238" t="s">
        <v>103</v>
      </c>
      <c r="T153" s="238" t="s">
        <v>104</v>
      </c>
      <c r="U153" s="238" t="s">
        <v>105</v>
      </c>
      <c r="V153" s="238" t="s">
        <v>106</v>
      </c>
      <c r="W153" s="238" t="s">
        <v>107</v>
      </c>
      <c r="X153" s="238" t="s">
        <v>108</v>
      </c>
      <c r="Y153" s="99"/>
    </row>
    <row r="154" spans="14:27" x14ac:dyDescent="0.3">
      <c r="O154" s="98" t="s">
        <v>109</v>
      </c>
      <c r="P154" s="238"/>
      <c r="Q154" s="238"/>
      <c r="R154" s="238"/>
      <c r="S154" s="238"/>
      <c r="T154" s="238"/>
      <c r="U154" s="238"/>
      <c r="V154" s="238"/>
      <c r="W154" s="238"/>
      <c r="X154" s="238"/>
      <c r="Y154" s="99"/>
    </row>
    <row r="155" spans="14:27" x14ac:dyDescent="0.3">
      <c r="O155" s="98" t="s">
        <v>110</v>
      </c>
      <c r="P155" s="239"/>
      <c r="Q155" s="239"/>
      <c r="R155" s="239"/>
      <c r="S155" s="239"/>
      <c r="T155" s="239"/>
      <c r="U155" s="239"/>
      <c r="V155" s="239"/>
      <c r="W155" s="239"/>
      <c r="X155" s="239"/>
      <c r="Y155" s="99"/>
    </row>
    <row r="156" spans="14:27" x14ac:dyDescent="0.3">
      <c r="O156" s="98" t="s">
        <v>111</v>
      </c>
      <c r="P156" s="100" t="s">
        <v>12</v>
      </c>
      <c r="Q156" s="100" t="s">
        <v>24</v>
      </c>
      <c r="R156" s="100" t="s">
        <v>112</v>
      </c>
      <c r="S156" s="101" t="e">
        <f>ROUND(12/$C$29,3)</f>
        <v>#DIV/0!</v>
      </c>
      <c r="T156" s="101" t="e">
        <f>ROUND(12/$C$30,3)</f>
        <v>#DIV/0!</v>
      </c>
      <c r="U156" s="101" t="e">
        <f>12/$C$29/3.412</f>
        <v>#DIV/0!</v>
      </c>
      <c r="V156" s="101" t="e">
        <f>12/$C$30/3.412</f>
        <v>#DIV/0!</v>
      </c>
      <c r="W156" s="100">
        <v>0.3</v>
      </c>
      <c r="X156" s="100">
        <v>1.5</v>
      </c>
    </row>
    <row r="157" spans="14:27" x14ac:dyDescent="0.3">
      <c r="O157" s="98" t="s">
        <v>113</v>
      </c>
      <c r="P157" s="100" t="s">
        <v>24</v>
      </c>
      <c r="Q157" s="100" t="s">
        <v>12</v>
      </c>
      <c r="R157" s="100" t="s">
        <v>112</v>
      </c>
      <c r="S157" s="101" t="e">
        <f>ROUND(12/$C$29,3)</f>
        <v>#DIV/0!</v>
      </c>
      <c r="T157" s="101" t="e">
        <f>ROUND(12/$C$30,3)</f>
        <v>#DIV/0!</v>
      </c>
      <c r="U157" s="101">
        <f>$C$29/3.412</f>
        <v>0</v>
      </c>
      <c r="V157" s="101">
        <f>$C$30/3.412</f>
        <v>0</v>
      </c>
      <c r="W157" s="100">
        <f>12/W156</f>
        <v>40</v>
      </c>
      <c r="X157" s="100">
        <f>12/X156</f>
        <v>8</v>
      </c>
    </row>
    <row r="158" spans="14:27" x14ac:dyDescent="0.3">
      <c r="O158" s="98" t="s">
        <v>114</v>
      </c>
      <c r="P158" s="100" t="s">
        <v>112</v>
      </c>
      <c r="Q158" s="100" t="s">
        <v>12</v>
      </c>
      <c r="R158" s="100" t="s">
        <v>24</v>
      </c>
      <c r="S158" s="101" t="e">
        <f>ROUND(12/($C$29*3.412),3)</f>
        <v>#DIV/0!</v>
      </c>
      <c r="T158" s="101" t="e">
        <f>ROUND(12/($C$30*3.412),3)</f>
        <v>#DIV/0!</v>
      </c>
      <c r="U158" s="101">
        <f>$C$29*3.412</f>
        <v>0</v>
      </c>
      <c r="V158" s="101">
        <f>$C$30*3.412</f>
        <v>0</v>
      </c>
      <c r="W158" s="100"/>
      <c r="X158" s="100"/>
    </row>
    <row r="160" spans="14:27" x14ac:dyDescent="0.3">
      <c r="N160" s="102" t="s">
        <v>115</v>
      </c>
    </row>
    <row r="162" spans="14:23" x14ac:dyDescent="0.3">
      <c r="N162" s="103" t="s">
        <v>116</v>
      </c>
      <c r="O162" s="103" t="s">
        <v>117</v>
      </c>
      <c r="P162" s="25" t="s">
        <v>118</v>
      </c>
      <c r="R162" s="25" t="s">
        <v>119</v>
      </c>
      <c r="W162" s="25" t="s">
        <v>120</v>
      </c>
    </row>
    <row r="163" spans="14:23" x14ac:dyDescent="0.3">
      <c r="N163" s="104" t="s">
        <v>121</v>
      </c>
      <c r="O163" s="104" t="s">
        <v>121</v>
      </c>
      <c r="P163" s="4" t="s">
        <v>122</v>
      </c>
      <c r="R163" s="98" t="s">
        <v>63</v>
      </c>
      <c r="W163" s="4" t="s">
        <v>123</v>
      </c>
    </row>
    <row r="164" spans="14:23" ht="28.8" x14ac:dyDescent="0.3">
      <c r="N164" s="104" t="s">
        <v>124</v>
      </c>
      <c r="O164" s="104" t="s">
        <v>125</v>
      </c>
      <c r="P164" s="4" t="s">
        <v>126</v>
      </c>
      <c r="Q164" s="4" t="s">
        <v>127</v>
      </c>
      <c r="R164" s="98" t="s">
        <v>67</v>
      </c>
      <c r="W164" s="4" t="s">
        <v>128</v>
      </c>
    </row>
    <row r="165" spans="14:23" x14ac:dyDescent="0.3">
      <c r="N165" s="104" t="s">
        <v>129</v>
      </c>
      <c r="O165" s="104" t="s">
        <v>130</v>
      </c>
      <c r="R165" s="98" t="s">
        <v>69</v>
      </c>
    </row>
    <row r="166" spans="14:23" ht="28.8" x14ac:dyDescent="0.3">
      <c r="N166" s="104" t="s">
        <v>131</v>
      </c>
      <c r="O166" s="104" t="s">
        <v>131</v>
      </c>
      <c r="R166" s="98" t="s">
        <v>77</v>
      </c>
    </row>
    <row r="167" spans="14:23" x14ac:dyDescent="0.3">
      <c r="N167" s="104" t="s">
        <v>132</v>
      </c>
      <c r="O167" s="104" t="s">
        <v>133</v>
      </c>
    </row>
    <row r="168" spans="14:23" ht="28.8" x14ac:dyDescent="0.3">
      <c r="N168" s="104" t="s">
        <v>134</v>
      </c>
      <c r="O168" s="104" t="s">
        <v>133</v>
      </c>
    </row>
    <row r="169" spans="14:23" x14ac:dyDescent="0.3">
      <c r="O169" s="104"/>
    </row>
    <row r="171" spans="14:23" x14ac:dyDescent="0.3">
      <c r="N171" s="25" t="s">
        <v>135</v>
      </c>
      <c r="O171" s="25" t="s">
        <v>136</v>
      </c>
      <c r="P171" s="25" t="s">
        <v>137</v>
      </c>
    </row>
    <row r="172" spans="14:23" x14ac:dyDescent="0.3">
      <c r="N172" s="4" t="s">
        <v>138</v>
      </c>
      <c r="O172" s="4" t="s">
        <v>6</v>
      </c>
      <c r="P172" s="4" t="s">
        <v>139</v>
      </c>
    </row>
    <row r="173" spans="14:23" x14ac:dyDescent="0.3">
      <c r="N173" s="4" t="s">
        <v>12</v>
      </c>
      <c r="O173" s="4" t="s">
        <v>23</v>
      </c>
      <c r="P173" s="4" t="s">
        <v>133</v>
      </c>
    </row>
    <row r="174" spans="14:23" x14ac:dyDescent="0.3">
      <c r="N174" s="4" t="s">
        <v>24</v>
      </c>
      <c r="O174" s="4" t="s">
        <v>24</v>
      </c>
      <c r="P174" s="4" t="s">
        <v>133</v>
      </c>
    </row>
    <row r="176" spans="14:23" x14ac:dyDescent="0.3">
      <c r="N176" s="25" t="s">
        <v>140</v>
      </c>
      <c r="O176" s="25" t="s">
        <v>141</v>
      </c>
    </row>
    <row r="177" spans="14:15" x14ac:dyDescent="0.3">
      <c r="N177" s="4" t="s">
        <v>142</v>
      </c>
      <c r="O177" s="4" t="s">
        <v>143</v>
      </c>
    </row>
    <row r="178" spans="14:15" x14ac:dyDescent="0.3">
      <c r="N178" s="4" t="s">
        <v>144</v>
      </c>
      <c r="O178" s="4" t="s">
        <v>145</v>
      </c>
    </row>
    <row r="179" spans="14:15" x14ac:dyDescent="0.3">
      <c r="N179" s="4" t="s">
        <v>146</v>
      </c>
      <c r="O179" s="4" t="s">
        <v>147</v>
      </c>
    </row>
    <row r="181" spans="14:15" x14ac:dyDescent="0.3">
      <c r="N181" s="25" t="s">
        <v>314</v>
      </c>
    </row>
    <row r="182" spans="14:15" x14ac:dyDescent="0.3">
      <c r="N182" s="4" t="s">
        <v>317</v>
      </c>
    </row>
  </sheetData>
  <sheetProtection algorithmName="SHA-512" hashValue="bxziD1nq3ezOhzQdOHuWRNKk1gTw2CcKSIHgYaEMvMj2TteEP/0wKi7WO53hPZSXrHnTDDWLx0kXoi0X8it1mg==" saltValue="lPpea7jiZglWSGevDxMoLg==" spinCount="100000" sheet="1" formatCells="0"/>
  <mergeCells count="68">
    <mergeCell ref="Y117:Z118"/>
    <mergeCell ref="W117:X118"/>
    <mergeCell ref="U117:V118"/>
    <mergeCell ref="J80:K80"/>
    <mergeCell ref="J81:K81"/>
    <mergeCell ref="J82:K82"/>
    <mergeCell ref="B86:J86"/>
    <mergeCell ref="F81:G81"/>
    <mergeCell ref="F82:G82"/>
    <mergeCell ref="F83:G83"/>
    <mergeCell ref="J83:K83"/>
    <mergeCell ref="C8:F8"/>
    <mergeCell ref="X153:X155"/>
    <mergeCell ref="C34:D34"/>
    <mergeCell ref="D53:E53"/>
    <mergeCell ref="A46:I46"/>
    <mergeCell ref="P153:P155"/>
    <mergeCell ref="Q153:Q155"/>
    <mergeCell ref="R153:R155"/>
    <mergeCell ref="S153:S155"/>
    <mergeCell ref="T153:T155"/>
    <mergeCell ref="A77:B77"/>
    <mergeCell ref="F77:H77"/>
    <mergeCell ref="S117:T118"/>
    <mergeCell ref="A80:C80"/>
    <mergeCell ref="A81:C81"/>
    <mergeCell ref="C74:K74"/>
    <mergeCell ref="A6:I6"/>
    <mergeCell ref="C76:E76"/>
    <mergeCell ref="C77:E77"/>
    <mergeCell ref="B63:F67"/>
    <mergeCell ref="B12:B13"/>
    <mergeCell ref="D52:G52"/>
    <mergeCell ref="F53:G53"/>
    <mergeCell ref="C27:D27"/>
    <mergeCell ref="C29:D29"/>
    <mergeCell ref="C30:D30"/>
    <mergeCell ref="J71:K71"/>
    <mergeCell ref="A76:B76"/>
    <mergeCell ref="W153:W155"/>
    <mergeCell ref="C75:K75"/>
    <mergeCell ref="B79:J79"/>
    <mergeCell ref="U153:U155"/>
    <mergeCell ref="V153:V155"/>
    <mergeCell ref="A82:C82"/>
    <mergeCell ref="A83:C83"/>
    <mergeCell ref="D80:E80"/>
    <mergeCell ref="D81:E81"/>
    <mergeCell ref="D82:E82"/>
    <mergeCell ref="D83:E83"/>
    <mergeCell ref="F80:G80"/>
    <mergeCell ref="H80:I80"/>
    <mergeCell ref="H81:I81"/>
    <mergeCell ref="H82:I82"/>
    <mergeCell ref="H83:I83"/>
    <mergeCell ref="A4:I4"/>
    <mergeCell ref="A5:H5"/>
    <mergeCell ref="I76:K76"/>
    <mergeCell ref="I77:K77"/>
    <mergeCell ref="D57:E57"/>
    <mergeCell ref="F57:G57"/>
    <mergeCell ref="D59:E59"/>
    <mergeCell ref="D60:E60"/>
    <mergeCell ref="D61:E61"/>
    <mergeCell ref="F59:G59"/>
    <mergeCell ref="F60:G60"/>
    <mergeCell ref="F61:G61"/>
    <mergeCell ref="F76:H76"/>
  </mergeCells>
  <conditionalFormatting sqref="A89:K89">
    <cfRule type="expression" dxfId="52" priority="7">
      <formula>$D$57=$O$179</formula>
    </cfRule>
  </conditionalFormatting>
  <conditionalFormatting sqref="A90:K90">
    <cfRule type="expression" dxfId="51" priority="1">
      <formula>$F$57=$O$179</formula>
    </cfRule>
  </conditionalFormatting>
  <conditionalFormatting sqref="D37:D40">
    <cfRule type="expression" dxfId="50" priority="24">
      <formula>IF($C$34="Tons and Total kW",TRUE, FALSE)</formula>
    </cfRule>
  </conditionalFormatting>
  <conditionalFormatting sqref="D57">
    <cfRule type="expression" dxfId="49" priority="30">
      <formula>IF($D$56="Qualifies",TRUE, FALSE)</formula>
    </cfRule>
  </conditionalFormatting>
  <conditionalFormatting sqref="E54:E55">
    <cfRule type="containsText" dxfId="48" priority="19" operator="containsText" text="Does Not Qualify">
      <formula>NOT(ISERROR(SEARCH("Does Not Qualify",E54)))</formula>
    </cfRule>
    <cfRule type="containsText" dxfId="47" priority="20" operator="containsText" text="Must select a chiller type first!">
      <formula>NOT(ISERROR(SEARCH("Must select a chiller type first!",E54)))</formula>
    </cfRule>
  </conditionalFormatting>
  <conditionalFormatting sqref="F57">
    <cfRule type="expression" dxfId="46" priority="8">
      <formula>IF($F$56="Qualifies",TRUE, FALSE)</formula>
    </cfRule>
  </conditionalFormatting>
  <conditionalFormatting sqref="G54:G55">
    <cfRule type="containsText" dxfId="45" priority="14" operator="containsText" text="Does Not Qualify">
      <formula>NOT(ISERROR(SEARCH("Does Not Qualify",G54)))</formula>
    </cfRule>
    <cfRule type="containsText" dxfId="44" priority="15" operator="containsText" text="Must select a chiller type first!">
      <formula>NOT(ISERROR(SEARCH("Must select a chiller type first!",G54)))</formula>
    </cfRule>
  </conditionalFormatting>
  <dataValidations count="5">
    <dataValidation type="list" allowBlank="1" showInputMessage="1" showErrorMessage="1" sqref="C27" xr:uid="{00000000-0002-0000-0000-000001000000}">
      <formula1>$P$156:$P$158</formula1>
    </dataValidation>
    <dataValidation type="list" allowBlank="1" showInputMessage="1" showErrorMessage="1" sqref="C34" xr:uid="{00000000-0002-0000-0000-000002000000}">
      <formula1>$N$172:$N$174</formula1>
    </dataValidation>
    <dataValidation type="list" allowBlank="1" showInputMessage="1" showErrorMessage="1" sqref="C8" xr:uid="{C9129BC7-2E90-46FF-B3A1-1A6551B1A165}">
      <formula1>$O$121:$O$132</formula1>
    </dataValidation>
    <dataValidation type="list" allowBlank="1" showInputMessage="1" showErrorMessage="1" sqref="C9" xr:uid="{AA5BC50A-5481-4901-B781-44C24F97CE47}">
      <formula1>$W$163:$W$164</formula1>
    </dataValidation>
    <dataValidation type="whole" operator="greaterThan" allowBlank="1" showInputMessage="1" showErrorMessage="1" error="Enter AHRI tonnage as whole number." sqref="C10" xr:uid="{D5C716CE-9159-4FFF-9F5C-B0CDB902A8D4}">
      <formula1>0</formula1>
    </dataValidation>
  </dataValidations>
  <hyperlinks>
    <hyperlink ref="A33" r:id="rId1" xr:uid="{00000000-0004-0000-0000-000000000000}"/>
  </hyperlinks>
  <pageMargins left="0.5" right="0.5" top="0.75" bottom="0.75" header="0.3" footer="0.3"/>
  <pageSetup scale="60"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186"/>
  <sheetViews>
    <sheetView zoomScale="80" zoomScaleNormal="80" workbookViewId="0">
      <selection activeCell="A50" sqref="A50"/>
    </sheetView>
  </sheetViews>
  <sheetFormatPr defaultColWidth="9.109375" defaultRowHeight="15.6" x14ac:dyDescent="0.3"/>
  <cols>
    <col min="1" max="1" width="14" style="105" customWidth="1"/>
    <col min="2" max="2" width="37.77734375" style="105" customWidth="1"/>
    <col min="3" max="3" width="28.6640625" style="105" customWidth="1"/>
    <col min="4" max="4" width="30.77734375" style="105" customWidth="1"/>
    <col min="5" max="5" width="20.33203125" style="105" customWidth="1"/>
    <col min="6" max="6" width="14.6640625" style="105" customWidth="1"/>
    <col min="7" max="7" width="15.6640625" style="105" customWidth="1"/>
    <col min="8" max="8" width="16.6640625" style="105" customWidth="1"/>
    <col min="9" max="9" width="19.6640625" style="105" customWidth="1"/>
    <col min="10" max="10" width="18.6640625" style="106" customWidth="1"/>
    <col min="11" max="11" width="18.6640625" style="105" customWidth="1"/>
    <col min="12" max="12" width="13.88671875" style="105" customWidth="1"/>
    <col min="13" max="13" width="12" style="105" hidden="1" customWidth="1"/>
    <col min="14" max="14" width="20.5546875" style="110" hidden="1" customWidth="1"/>
    <col min="15" max="15" width="43" style="105" hidden="1" customWidth="1"/>
    <col min="16" max="16" width="12.5546875" style="105" hidden="1" customWidth="1"/>
    <col min="17" max="17" width="9" style="105" hidden="1" customWidth="1"/>
    <col min="18" max="18" width="9.109375" style="105" hidden="1" customWidth="1"/>
    <col min="19" max="19" width="7.88671875" style="105" hidden="1" customWidth="1"/>
    <col min="20" max="20" width="10.88671875" style="105" hidden="1" customWidth="1"/>
    <col min="21" max="21" width="11.109375" style="105" hidden="1" customWidth="1"/>
    <col min="22" max="22" width="10.5546875" style="105" hidden="1" customWidth="1"/>
    <col min="23" max="23" width="9.109375" style="105" hidden="1" customWidth="1"/>
    <col min="24" max="24" width="14" style="105" hidden="1" customWidth="1"/>
    <col min="25" max="25" width="15" style="105" hidden="1" customWidth="1"/>
    <col min="26" max="27" width="12.6640625" style="105" hidden="1" customWidth="1"/>
    <col min="28" max="29" width="20.6640625" style="105" hidden="1" customWidth="1"/>
    <col min="30" max="30" width="12.109375" style="105" customWidth="1"/>
    <col min="31" max="31" width="13.33203125" style="105" bestFit="1" customWidth="1"/>
    <col min="32" max="32" width="9.109375" style="105"/>
    <col min="33" max="33" width="13.33203125" style="105" bestFit="1" customWidth="1"/>
    <col min="34" max="16384" width="9.109375" style="105"/>
  </cols>
  <sheetData>
    <row r="1" spans="1:29" x14ac:dyDescent="0.3">
      <c r="M1" s="107" t="s">
        <v>0</v>
      </c>
      <c r="N1" s="107" t="s">
        <v>0</v>
      </c>
      <c r="O1" s="108" t="s">
        <v>0</v>
      </c>
      <c r="P1" s="108" t="s">
        <v>0</v>
      </c>
      <c r="Q1" s="108" t="s">
        <v>0</v>
      </c>
      <c r="R1" s="108"/>
      <c r="S1" s="108" t="s">
        <v>0</v>
      </c>
      <c r="T1" s="108" t="s">
        <v>0</v>
      </c>
      <c r="U1" s="108" t="s">
        <v>0</v>
      </c>
      <c r="V1" s="108" t="s">
        <v>0</v>
      </c>
      <c r="W1" s="108" t="s">
        <v>0</v>
      </c>
      <c r="X1" s="108" t="s">
        <v>0</v>
      </c>
      <c r="Y1" s="108" t="s">
        <v>0</v>
      </c>
      <c r="Z1" s="108" t="s">
        <v>0</v>
      </c>
      <c r="AA1" s="108" t="s">
        <v>0</v>
      </c>
      <c r="AB1" s="108" t="s">
        <v>0</v>
      </c>
      <c r="AC1" s="108" t="s">
        <v>0</v>
      </c>
    </row>
    <row r="2" spans="1:29" ht="25.05" customHeight="1" x14ac:dyDescent="0.4">
      <c r="A2" s="193" t="s">
        <v>148</v>
      </c>
      <c r="B2" s="109"/>
    </row>
    <row r="3" spans="1:29" x14ac:dyDescent="0.3">
      <c r="A3" s="109"/>
      <c r="B3" s="192" t="s">
        <v>261</v>
      </c>
      <c r="F3" s="112"/>
    </row>
    <row r="4" spans="1:29" ht="55.95" customHeight="1" x14ac:dyDescent="0.3">
      <c r="A4" s="293" t="s">
        <v>277</v>
      </c>
      <c r="B4" s="293"/>
      <c r="C4" s="293"/>
      <c r="D4" s="293"/>
      <c r="E4" s="293"/>
      <c r="F4" s="293"/>
      <c r="G4" s="293"/>
      <c r="H4" s="293"/>
      <c r="I4" s="293"/>
    </row>
    <row r="5" spans="1:29" ht="16.2" thickBot="1" x14ac:dyDescent="0.35">
      <c r="A5" s="296" t="s">
        <v>278</v>
      </c>
      <c r="B5" s="297"/>
      <c r="C5" s="297"/>
      <c r="D5" s="297"/>
      <c r="E5" s="297"/>
      <c r="F5" s="297"/>
      <c r="G5" s="297"/>
      <c r="H5" s="297"/>
      <c r="I5" s="113"/>
    </row>
    <row r="6" spans="1:29" x14ac:dyDescent="0.3">
      <c r="A6" s="298" t="s">
        <v>149</v>
      </c>
      <c r="B6" s="299"/>
      <c r="C6" s="299"/>
      <c r="D6" s="299"/>
      <c r="E6" s="299"/>
      <c r="F6" s="299"/>
      <c r="G6" s="299"/>
      <c r="H6" s="299"/>
      <c r="I6" s="300"/>
    </row>
    <row r="7" spans="1:29" x14ac:dyDescent="0.3">
      <c r="A7" s="114"/>
      <c r="D7" s="110"/>
      <c r="E7" s="110"/>
      <c r="F7" s="110"/>
      <c r="G7" s="110"/>
      <c r="H7" s="110"/>
      <c r="I7" s="115"/>
    </row>
    <row r="8" spans="1:29" x14ac:dyDescent="0.3">
      <c r="A8" s="116"/>
      <c r="B8" s="117" t="s">
        <v>150</v>
      </c>
      <c r="C8" s="118"/>
      <c r="D8" s="110"/>
      <c r="E8" s="110"/>
      <c r="F8" s="110"/>
      <c r="G8" s="110"/>
      <c r="H8" s="110"/>
      <c r="I8" s="119"/>
    </row>
    <row r="9" spans="1:29" x14ac:dyDescent="0.3">
      <c r="A9" s="116"/>
      <c r="B9" s="117" t="s">
        <v>4</v>
      </c>
      <c r="C9" s="118"/>
      <c r="D9" s="110"/>
      <c r="E9" s="110"/>
      <c r="F9" s="110"/>
      <c r="G9" s="110"/>
      <c r="H9" s="110"/>
      <c r="I9" s="119"/>
    </row>
    <row r="10" spans="1:29" x14ac:dyDescent="0.3">
      <c r="A10" s="116"/>
      <c r="B10" s="120" t="str">
        <f>IF(AND(C8=M115,D11&gt;=5.42),"DX cooling systems ≥5.42 tons in data centers are not eligible, but may qualify for a custom incentive.","")</f>
        <v/>
      </c>
      <c r="D10" s="110"/>
      <c r="E10" s="110"/>
      <c r="F10" s="110"/>
      <c r="G10" s="110"/>
      <c r="H10" s="110"/>
      <c r="I10" s="119"/>
    </row>
    <row r="11" spans="1:29" x14ac:dyDescent="0.3">
      <c r="A11" s="116"/>
      <c r="B11" s="117" t="s">
        <v>151</v>
      </c>
      <c r="C11" s="121"/>
      <c r="D11" s="122">
        <f>ROUND(C11,2)</f>
        <v>0</v>
      </c>
      <c r="F11" s="123" t="s">
        <v>152</v>
      </c>
      <c r="G11" s="124"/>
      <c r="H11" s="124"/>
      <c r="I11" s="125"/>
    </row>
    <row r="12" spans="1:29" x14ac:dyDescent="0.3">
      <c r="A12" s="116"/>
      <c r="B12" s="117" t="s">
        <v>153</v>
      </c>
      <c r="C12" s="126"/>
      <c r="D12" s="127" t="str">
        <f>IF(OR(AND(C12=P131,OR(C8=M115,D11&gt;=5.42)),AND(C12=AA133,OR(C8=M115,D11&lt;11.25))),"     Select an eligible system type!","")</f>
        <v/>
      </c>
      <c r="E12" s="128"/>
      <c r="F12" s="129" t="str">
        <f>IF( AND(C12=AA133,OR(C8=M115,D11&lt;11.25)), "Condensing Unit Only systems must be ≥ 11.25 tons!",IF(AND(C11&gt;=63.33,OR(C12=AA131,C12=AA132)),"Heat Pumps &gt;=63.33 tons must go custom!",""))</f>
        <v/>
      </c>
      <c r="G12" s="106"/>
      <c r="I12" s="130"/>
    </row>
    <row r="13" spans="1:29" x14ac:dyDescent="0.3">
      <c r="A13" s="116"/>
      <c r="B13" s="117" t="s">
        <v>154</v>
      </c>
      <c r="C13" s="131"/>
      <c r="E13" s="128"/>
      <c r="F13" s="106"/>
      <c r="G13" s="106"/>
      <c r="I13" s="130"/>
      <c r="N13" s="105"/>
    </row>
    <row r="14" spans="1:29" x14ac:dyDescent="0.3">
      <c r="A14" s="116"/>
      <c r="B14" s="117"/>
      <c r="D14" s="106"/>
      <c r="E14" s="128"/>
      <c r="F14" s="106"/>
      <c r="G14" s="106"/>
      <c r="I14" s="130"/>
      <c r="N14" s="105"/>
    </row>
    <row r="15" spans="1:29" x14ac:dyDescent="0.3">
      <c r="A15" s="116"/>
      <c r="B15" s="117" t="s">
        <v>155</v>
      </c>
      <c r="C15" s="118"/>
      <c r="D15" s="132" t="str">
        <f>IF(C15="","",IF(AND(D17="SEER2",D11&gt;=5.42),"ERROR: Update this to EER, kW/ton or COP!",IF(AND(D11&lt;5.42,D17&lt;&gt;"SEER2"),"ERROR: Update this to SEER2!","")))</f>
        <v/>
      </c>
      <c r="F15" s="123" t="s">
        <v>156</v>
      </c>
      <c r="G15" s="124"/>
      <c r="H15" s="124"/>
      <c r="I15" s="125"/>
      <c r="N15" s="105"/>
    </row>
    <row r="16" spans="1:29" x14ac:dyDescent="0.3">
      <c r="A16" s="116"/>
      <c r="B16" s="117"/>
      <c r="E16" s="128"/>
      <c r="F16" s="133" t="s">
        <v>17</v>
      </c>
      <c r="I16" s="130"/>
      <c r="N16" s="105"/>
    </row>
    <row r="17" spans="1:15" x14ac:dyDescent="0.3">
      <c r="A17" s="116"/>
      <c r="B17" s="117" t="s">
        <v>157</v>
      </c>
      <c r="C17" s="134"/>
      <c r="D17" s="135" t="str">
        <f>IF(C15="","",IF($C$15=$O$122,IF($D$11&lt;5.42,"SEER2","EER"),$C$15))</f>
        <v/>
      </c>
      <c r="E17" s="128"/>
      <c r="F17" s="136" t="str">
        <f>IFERROR(VLOOKUP($C$15,$O$121:$W$124,2,FALSE),"")</f>
        <v/>
      </c>
      <c r="G17" s="110" t="e">
        <f>VLOOKUP($C$15,$O$121:$S$124,3,FALSE)</f>
        <v>#N/A</v>
      </c>
      <c r="H17" s="136" t="str">
        <f>IFERROR(VLOOKUP($C$15,$O$121:$W$124,4,FALSE),"")</f>
        <v/>
      </c>
      <c r="I17" s="119" t="e">
        <f>VLOOKUP($C$15,$O$121:$S$124,5,FALSE)</f>
        <v>#N/A</v>
      </c>
      <c r="N17" s="105"/>
    </row>
    <row r="18" spans="1:15" x14ac:dyDescent="0.3">
      <c r="A18" s="116"/>
      <c r="B18" s="117" t="s">
        <v>158</v>
      </c>
      <c r="C18" s="134"/>
      <c r="D18" s="135" t="str">
        <f>IF(C28="","",IF(D17="EER","IEER",D17))</f>
        <v/>
      </c>
      <c r="E18" s="128"/>
      <c r="F18" s="136" t="str">
        <f>IFERROR(VLOOKUP($C$15,$O$121:$W$124,6,FALSE),"")</f>
        <v/>
      </c>
      <c r="G18" s="110" t="e">
        <f>VLOOKUP($C$15,$O$121:$S$124,3,FALSE)</f>
        <v>#N/A</v>
      </c>
      <c r="H18" s="136" t="str">
        <f>IFERROR(VLOOKUP($C$15,$O$121:$W$124,8,FALSE),"")</f>
        <v/>
      </c>
      <c r="I18" s="119" t="e">
        <f>VLOOKUP($C$15,$O$121:$S$124,5,FALSE)</f>
        <v>#N/A</v>
      </c>
      <c r="N18" s="105"/>
      <c r="O18" s="110"/>
    </row>
    <row r="19" spans="1:15" x14ac:dyDescent="0.3">
      <c r="A19" s="116"/>
      <c r="B19" s="117"/>
      <c r="C19" s="189"/>
      <c r="E19" s="128"/>
      <c r="F19" s="137"/>
      <c r="G19" s="110"/>
      <c r="H19" s="137"/>
      <c r="I19" s="119"/>
      <c r="N19" s="105"/>
      <c r="O19" s="110"/>
    </row>
    <row r="20" spans="1:15" ht="16.2" thickBot="1" x14ac:dyDescent="0.35">
      <c r="A20" s="138"/>
      <c r="B20" s="139"/>
      <c r="C20" s="139"/>
      <c r="D20" s="139"/>
      <c r="E20" s="139"/>
      <c r="F20" s="139"/>
      <c r="G20" s="139"/>
      <c r="H20" s="139"/>
      <c r="I20" s="140"/>
      <c r="N20" s="105"/>
      <c r="O20" s="110"/>
    </row>
    <row r="21" spans="1:15" x14ac:dyDescent="0.3">
      <c r="J21" s="105"/>
      <c r="N21" s="105"/>
    </row>
    <row r="22" spans="1:15" ht="16.2" thickBot="1" x14ac:dyDescent="0.35">
      <c r="J22" s="105"/>
      <c r="N22" s="105"/>
    </row>
    <row r="23" spans="1:15" x14ac:dyDescent="0.3">
      <c r="A23" s="298" t="s">
        <v>267</v>
      </c>
      <c r="B23" s="299"/>
      <c r="C23" s="299"/>
      <c r="D23" s="299"/>
      <c r="E23" s="299"/>
      <c r="F23" s="299"/>
      <c r="G23" s="299"/>
      <c r="H23" s="299"/>
      <c r="I23" s="300"/>
      <c r="J23" s="105"/>
      <c r="N23" s="105"/>
    </row>
    <row r="24" spans="1:15" x14ac:dyDescent="0.3">
      <c r="A24" s="114"/>
      <c r="I24" s="130"/>
      <c r="J24" s="105"/>
      <c r="N24" s="105"/>
    </row>
    <row r="25" spans="1:15" x14ac:dyDescent="0.3">
      <c r="A25" s="114"/>
      <c r="C25" s="141" t="s">
        <v>159</v>
      </c>
      <c r="D25" s="142" t="s">
        <v>160</v>
      </c>
      <c r="I25" s="130"/>
      <c r="J25" s="105"/>
      <c r="N25" s="105"/>
    </row>
    <row r="26" spans="1:15" x14ac:dyDescent="0.3">
      <c r="A26" s="114"/>
      <c r="B26" s="117" t="s">
        <v>161</v>
      </c>
      <c r="C26" s="136" t="str">
        <f>IFERROR(VLOOKUP($O$63,$M$68:$AA$107,5,FALSE),"")</f>
        <v/>
      </c>
      <c r="D26" s="143" t="e">
        <f>IF(OR(D17="EER",D17="SEER2"),C17,IF(G17="EER",F17,H17))</f>
        <v>#N/A</v>
      </c>
      <c r="E26" s="144" t="str">
        <f>IF(C26="", "Must select a Cooling System Type first!",IF(C26="N/A","Minimum SEER2 not required for this size",IF(D26&gt;=C26,"Qualifies", "Does not qualify")))</f>
        <v>Must select a Cooling System Type first!</v>
      </c>
      <c r="I26" s="130"/>
      <c r="J26" s="105"/>
      <c r="N26" s="105"/>
    </row>
    <row r="27" spans="1:15" x14ac:dyDescent="0.3">
      <c r="A27" s="116"/>
      <c r="B27" s="117" t="s">
        <v>162</v>
      </c>
      <c r="C27" s="136" t="str">
        <f>IFERROR(VLOOKUP($O$63,$M$68:$AA$107,6,FALSE),"")</f>
        <v/>
      </c>
      <c r="D27" s="143" t="e">
        <f>IF(D17="EER",C17,IF(G17="EER",F17,H17))</f>
        <v>#N/A</v>
      </c>
      <c r="E27" s="144" t="str">
        <f>IF(C27="", "Must select a Cooling System Type first!",IF(C27="N/A","Minimum EER is not required for this size",IF(D27&gt;=C27,"Qualifies", "Does not qualify")))</f>
        <v>Must select a Cooling System Type first!</v>
      </c>
      <c r="I27" s="130"/>
      <c r="J27" s="105"/>
      <c r="K27" s="145"/>
      <c r="L27" s="145"/>
      <c r="N27" s="105"/>
    </row>
    <row r="28" spans="1:15" x14ac:dyDescent="0.3">
      <c r="A28" s="116"/>
      <c r="B28" s="117" t="s">
        <v>163</v>
      </c>
      <c r="C28" s="136" t="str">
        <f>IFERROR(VLOOKUP($O$63,$M$68:$AA$107,7,FALSE),"")</f>
        <v/>
      </c>
      <c r="D28" s="143" t="e">
        <f>IF(D17="EER",C18,IF(G18="EER",F18,H18))</f>
        <v>#N/A</v>
      </c>
      <c r="E28" s="144" t="str">
        <f>IF(C28="", "Must select a Cooling System Type first!",IF(C28="N/A","Minimum IEER is not required for this size",IF(D28&gt;=C28,"Qualifies", "Does not qualify")))</f>
        <v>Must select a Cooling System Type first!</v>
      </c>
      <c r="I28" s="130"/>
      <c r="K28" s="145"/>
      <c r="L28" s="145"/>
      <c r="N28" s="105"/>
    </row>
    <row r="29" spans="1:15" x14ac:dyDescent="0.3">
      <c r="A29" s="116"/>
      <c r="B29" s="117"/>
      <c r="C29" s="187"/>
      <c r="D29" s="188"/>
      <c r="E29" s="144"/>
      <c r="I29" s="130"/>
      <c r="K29" s="145"/>
      <c r="L29" s="145"/>
      <c r="N29" s="105"/>
    </row>
    <row r="30" spans="1:15" x14ac:dyDescent="0.3">
      <c r="A30" s="114"/>
      <c r="I30" s="130"/>
      <c r="N30" s="105"/>
    </row>
    <row r="31" spans="1:15" x14ac:dyDescent="0.3">
      <c r="A31" s="146"/>
      <c r="B31" s="147" t="s">
        <v>31</v>
      </c>
      <c r="C31" s="148" t="str">
        <f xml:space="preserve"> IF(OR(C8="",D11="", C12="" ), "", IF(OR(E26="Does not qualify",E27="Does not qualify",E28="Does not qualify",E29="Does not qualify",B10&lt;&gt;"", AND(C9=$M$111, C12=$O$116)),"NO","YES"))</f>
        <v/>
      </c>
      <c r="E31" s="127" t="str">
        <f>IF(AND(C9=$M$111, C12=$O$116),"Condensing Unit Only rebates are not eligible for New Construction!","")</f>
        <v/>
      </c>
      <c r="I31" s="130"/>
      <c r="N31" s="105"/>
    </row>
    <row r="32" spans="1:15" ht="15.75" customHeight="1" x14ac:dyDescent="0.3">
      <c r="A32" s="114"/>
      <c r="F32" s="149"/>
      <c r="G32" s="149"/>
      <c r="H32" s="149"/>
      <c r="I32" s="150"/>
      <c r="N32" s="105"/>
    </row>
    <row r="33" spans="1:14" x14ac:dyDescent="0.3">
      <c r="A33" s="146"/>
      <c r="B33" s="117" t="e">
        <f>CONCATENATE("Base Rebate Rate ($ per ",VLOOKUP($O$63,$M$68:$AA$107,11,FALSE),")")</f>
        <v>#N/A</v>
      </c>
      <c r="C33" s="151">
        <f>IFERROR(IF(C31="YES",VLOOKUP(O63,$M$68:$AA$107,IF(C9=$M$111,13,9),FALSE),0),0)</f>
        <v>0</v>
      </c>
      <c r="D33" s="128" t="e">
        <f>VLOOKUP($O$63,$M$68:$AA$107,IF(C9=$M$111,15,11),FALSE)</f>
        <v>#N/A</v>
      </c>
      <c r="E33" s="302" t="str">
        <f>IF(OR( C31="NO", C31=""),"",IF(VLOOKUP(O63,M68:X107,12,FALSE)="None",IF(C8=M115,M138,M137),M136))</f>
        <v/>
      </c>
      <c r="F33" s="302"/>
      <c r="G33" s="302"/>
      <c r="H33" s="302"/>
      <c r="I33" s="303"/>
      <c r="K33" s="152"/>
      <c r="M33" s="153"/>
    </row>
    <row r="34" spans="1:14" x14ac:dyDescent="0.3">
      <c r="A34" s="146"/>
      <c r="B34" s="117" t="e">
        <f>CONCATENATE("Additional Rebate Rate ($ per ",VLOOKUP($O$63,$M$68:$AA$974,11,FALSE),")")</f>
        <v>#N/A</v>
      </c>
      <c r="C34" s="151">
        <f>IFERROR(IF(C31="YES",VLOOKUP(O63,$M$68:$AA$107,IF(C9=$M$111,14,10),FALSE)*(IF(C12=$AA$133,ROUND(D27,2)-C27,ROUND(D28,2)-C28)),0),0)</f>
        <v>0</v>
      </c>
      <c r="D34" s="154" t="str">
        <f>IFERROR(IF(AND(C31="YES",C34&lt;&gt;0),"$"&amp;FIXED(VLOOKUP(O63,$M$68:$AA$107,IF(C9=$M$111,14,10),FALSE),0)&amp;"/ton x "&amp; ( FIXED(IF(C12=$AA$133,ROUND(D27,2)-C27,ROUND(D28,2)-C28),2)  &amp; " " &amp;VLOOKUP(C12,O114:P118,2,FALSE) &amp;" above min."),""),"")</f>
        <v/>
      </c>
      <c r="E34" s="302"/>
      <c r="F34" s="302"/>
      <c r="G34" s="302"/>
      <c r="H34" s="302"/>
      <c r="I34" s="303"/>
      <c r="K34" s="152"/>
    </row>
    <row r="35" spans="1:14" x14ac:dyDescent="0.3">
      <c r="A35" s="146"/>
      <c r="B35" s="147" t="e">
        <f>CONCATENATE("Total Rebate Rate ($ per ",VLOOKUP($O$63,$M$68:$AA$974,11,FALSE),")")</f>
        <v>#N/A</v>
      </c>
      <c r="C35" s="155">
        <f>C33+C34</f>
        <v>0</v>
      </c>
      <c r="E35" s="302"/>
      <c r="F35" s="302"/>
      <c r="G35" s="302"/>
      <c r="H35" s="302"/>
      <c r="I35" s="303"/>
      <c r="K35" s="152"/>
    </row>
    <row r="36" spans="1:14" x14ac:dyDescent="0.3">
      <c r="A36" s="146"/>
      <c r="B36" s="156" t="s">
        <v>164</v>
      </c>
      <c r="C36" s="157">
        <f>D11</f>
        <v>0</v>
      </c>
      <c r="D36" s="109"/>
      <c r="E36" s="302"/>
      <c r="F36" s="302"/>
      <c r="G36" s="302"/>
      <c r="H36" s="302"/>
      <c r="I36" s="303"/>
    </row>
    <row r="37" spans="1:14" x14ac:dyDescent="0.3">
      <c r="A37" s="146"/>
      <c r="B37" s="147" t="s">
        <v>268</v>
      </c>
      <c r="C37" s="155" t="e">
        <f>IF(AND(C12="Condensing Unit Only",C11&lt;=11.25),0,IF(D33="ton",C35*C36,C35))</f>
        <v>#N/A</v>
      </c>
      <c r="E37" s="302"/>
      <c r="F37" s="302"/>
      <c r="G37" s="302"/>
      <c r="H37" s="302"/>
      <c r="I37" s="303"/>
      <c r="J37" s="153"/>
    </row>
    <row r="38" spans="1:14" x14ac:dyDescent="0.3">
      <c r="A38" s="146"/>
      <c r="B38" s="147" t="s">
        <v>154</v>
      </c>
      <c r="C38" s="158">
        <f>C13</f>
        <v>0</v>
      </c>
      <c r="D38" s="109"/>
      <c r="E38" s="302"/>
      <c r="F38" s="302"/>
      <c r="G38" s="302"/>
      <c r="H38" s="302"/>
      <c r="I38" s="303"/>
    </row>
    <row r="39" spans="1:14" x14ac:dyDescent="0.3">
      <c r="A39" s="146"/>
      <c r="B39" s="147" t="s">
        <v>269</v>
      </c>
      <c r="C39" s="155" t="e">
        <f>C37*C38</f>
        <v>#N/A</v>
      </c>
      <c r="D39" s="109"/>
      <c r="E39" s="302"/>
      <c r="F39" s="302"/>
      <c r="G39" s="302"/>
      <c r="H39" s="302"/>
      <c r="I39" s="303"/>
    </row>
    <row r="40" spans="1:14" x14ac:dyDescent="0.3">
      <c r="A40" s="146"/>
      <c r="B40" s="117" t="str">
        <f xml:space="preserve">  IF(AND(C31="Yes", A44=M141), "Measure Code &amp; Name:","")</f>
        <v/>
      </c>
      <c r="C40" s="159" t="str">
        <f xml:space="preserve">  IF(AND(C31="Yes", A44=M141), IF($C$9=$M$111,"N-","")&amp; O63,"")</f>
        <v/>
      </c>
      <c r="D40" s="285" t="str">
        <f xml:space="preserve">  IF(AND(C31="Yes", A44=M141),VLOOKUP(C40,$M$68:$AB$101,16,FALSE),"")</f>
        <v/>
      </c>
      <c r="E40" s="285"/>
      <c r="F40" s="285"/>
      <c r="G40" s="285"/>
      <c r="H40" s="285"/>
      <c r="I40" s="286"/>
    </row>
    <row r="41" spans="1:14" ht="16.2" thickBot="1" x14ac:dyDescent="0.35">
      <c r="A41" s="138"/>
      <c r="B41" s="139"/>
      <c r="C41" s="139"/>
      <c r="D41" s="139"/>
      <c r="E41" s="139"/>
      <c r="F41" s="139"/>
      <c r="G41" s="139"/>
      <c r="H41" s="139"/>
      <c r="I41" s="140"/>
    </row>
    <row r="43" spans="1:14" x14ac:dyDescent="0.3">
      <c r="A43" s="129" t="s">
        <v>165</v>
      </c>
      <c r="I43" s="106"/>
      <c r="J43" s="105"/>
    </row>
    <row r="44" spans="1:14" x14ac:dyDescent="0.3">
      <c r="A44" s="109" t="str">
        <f>IF(ISNA(O63)=TRUE,"",IF(OR(VLOOKUP(O63,$M$68:$AA$107,12,FALSE)="B1",VLOOKUP(O63,$M$68:$AA$107,12,FALSE)="B1 &amp; B2"),M142,M141))</f>
        <v/>
      </c>
      <c r="B44" s="109"/>
      <c r="I44" s="160" t="s">
        <v>33</v>
      </c>
      <c r="J44" s="105"/>
      <c r="N44" s="105"/>
    </row>
    <row r="45" spans="1:14" x14ac:dyDescent="0.3">
      <c r="A45" s="133" t="s">
        <v>266</v>
      </c>
      <c r="B45" s="133"/>
      <c r="H45" s="135"/>
      <c r="I45" s="161" t="str">
        <f xml:space="preserve"> IF(A44=M142,IF($C$9=$M$111,"N-","")&amp; O63,"")</f>
        <v/>
      </c>
      <c r="J45" s="105"/>
      <c r="N45" s="105"/>
    </row>
    <row r="46" spans="1:14" ht="33" customHeight="1" x14ac:dyDescent="0.3">
      <c r="A46" s="205" t="s">
        <v>166</v>
      </c>
      <c r="B46" s="287" t="s">
        <v>270</v>
      </c>
      <c r="C46" s="288"/>
      <c r="D46" s="288"/>
      <c r="E46" s="288"/>
      <c r="F46" s="288"/>
      <c r="G46" s="288"/>
      <c r="H46" s="288"/>
      <c r="I46" s="206" t="s">
        <v>167</v>
      </c>
      <c r="J46" s="105"/>
      <c r="N46" s="105"/>
    </row>
    <row r="47" spans="1:14" ht="64.8" customHeight="1" x14ac:dyDescent="0.3">
      <c r="A47" s="203" t="s">
        <v>37</v>
      </c>
      <c r="B47" s="203" t="s">
        <v>168</v>
      </c>
      <c r="C47" s="203" t="s">
        <v>169</v>
      </c>
      <c r="D47" s="204" t="s">
        <v>264</v>
      </c>
      <c r="E47" s="203" t="s">
        <v>170</v>
      </c>
      <c r="F47" s="204" t="s">
        <v>271</v>
      </c>
      <c r="G47" s="203" t="s">
        <v>272</v>
      </c>
      <c r="H47" s="203" t="s">
        <v>273</v>
      </c>
      <c r="I47" s="203" t="s">
        <v>265</v>
      </c>
      <c r="N47" s="105"/>
    </row>
    <row r="48" spans="1:14" ht="32.1" customHeight="1" x14ac:dyDescent="0.3">
      <c r="A48" s="211" t="s">
        <v>171</v>
      </c>
      <c r="B48" s="212" t="s">
        <v>172</v>
      </c>
      <c r="C48" s="213">
        <v>16</v>
      </c>
      <c r="D48" s="213">
        <v>15.4</v>
      </c>
      <c r="E48" s="213">
        <f>C48-D48</f>
        <v>0.59999999999999964</v>
      </c>
      <c r="F48" s="214">
        <f>E48*5</f>
        <v>2.9999999999999982</v>
      </c>
      <c r="G48" s="214">
        <v>25</v>
      </c>
      <c r="H48" s="214">
        <f>F48+G48</f>
        <v>28</v>
      </c>
      <c r="I48" s="214">
        <f>H48*15</f>
        <v>420</v>
      </c>
      <c r="J48" s="162"/>
    </row>
    <row r="49" spans="1:15" ht="32.1" customHeight="1" x14ac:dyDescent="0.3">
      <c r="A49" s="163"/>
      <c r="B49" s="164" t="str">
        <f>$C$13 &amp;" @ " &amp; FIXED($D$11,2)  &amp;" tons"</f>
        <v xml:space="preserve"> @ 0.00 tons</v>
      </c>
      <c r="C49" s="165" t="e">
        <f>D28</f>
        <v>#N/A</v>
      </c>
      <c r="D49" s="165" t="str">
        <f>C28</f>
        <v/>
      </c>
      <c r="E49" s="165" t="e">
        <f>C49-D49</f>
        <v>#N/A</v>
      </c>
      <c r="F49" s="166" t="e">
        <f>VLOOKUP(O63,$M$68:$AA$107,IF(C9=$M$111,14,10),FALSE)*E49</f>
        <v>#N/A</v>
      </c>
      <c r="G49" s="166" t="e">
        <f>VLOOKUP(O63,$M$68:$AA$107,IF(C9=$M$111,13,9),FALSE)</f>
        <v>#N/A</v>
      </c>
      <c r="H49" s="167" t="e">
        <f>F49+G49</f>
        <v>#N/A</v>
      </c>
      <c r="I49" s="166" t="e">
        <f>C39</f>
        <v>#N/A</v>
      </c>
    </row>
    <row r="50" spans="1:15" x14ac:dyDescent="0.3">
      <c r="A50" s="8" t="s">
        <v>319</v>
      </c>
      <c r="J50" s="162"/>
    </row>
    <row r="51" spans="1:15" x14ac:dyDescent="0.3">
      <c r="A51" s="111"/>
      <c r="J51" s="162"/>
    </row>
    <row r="52" spans="1:15" x14ac:dyDescent="0.3">
      <c r="A52" s="109" t="str">
        <f>IF(ISNA(O63)=TRUE,"",IF(VLOOKUP(O63,$M$68:$AA$107,12,FALSE)="B1 &amp; B2",M142,M141))</f>
        <v/>
      </c>
      <c r="B52" s="109"/>
      <c r="I52" s="160" t="s">
        <v>33</v>
      </c>
      <c r="J52" s="162"/>
    </row>
    <row r="53" spans="1:15" x14ac:dyDescent="0.3">
      <c r="A53" s="133" t="s">
        <v>266</v>
      </c>
      <c r="B53" s="133"/>
      <c r="H53" s="128" t="str">
        <f xml:space="preserve"> IF(A52=M150,IF($C$9=$M$111,"","")&amp; O71,"")</f>
        <v>Split System</v>
      </c>
      <c r="I53" s="161" t="str">
        <f xml:space="preserve"> IF(A52=M142,IF($C$9=$M$111,"N-","")&amp; O63,"")</f>
        <v/>
      </c>
      <c r="J53" s="162"/>
    </row>
    <row r="54" spans="1:15" x14ac:dyDescent="0.3">
      <c r="A54" s="205" t="s">
        <v>173</v>
      </c>
      <c r="B54" s="287" t="s">
        <v>276</v>
      </c>
      <c r="C54" s="288"/>
      <c r="D54" s="288"/>
      <c r="E54" s="288"/>
      <c r="F54" s="288"/>
      <c r="G54" s="288"/>
      <c r="H54" s="288"/>
      <c r="I54" s="206" t="s">
        <v>167</v>
      </c>
      <c r="J54" s="162"/>
    </row>
    <row r="55" spans="1:15" ht="31.2" customHeight="1" x14ac:dyDescent="0.3">
      <c r="A55" s="289" t="s">
        <v>279</v>
      </c>
      <c r="B55" s="289"/>
      <c r="C55" s="289"/>
      <c r="D55" s="289" t="s">
        <v>174</v>
      </c>
      <c r="E55" s="289"/>
      <c r="F55" s="289"/>
      <c r="G55" s="289" t="s">
        <v>175</v>
      </c>
      <c r="H55" s="289"/>
      <c r="I55" s="289"/>
      <c r="J55" s="162"/>
    </row>
    <row r="56" spans="1:15" ht="32.1" customHeight="1" x14ac:dyDescent="0.3">
      <c r="A56" s="275" t="s">
        <v>280</v>
      </c>
      <c r="B56" s="276"/>
      <c r="C56" s="277"/>
      <c r="D56" s="275" t="s">
        <v>176</v>
      </c>
      <c r="E56" s="276"/>
      <c r="F56" s="277"/>
      <c r="G56" s="278">
        <v>0.85</v>
      </c>
      <c r="H56" s="276"/>
      <c r="I56" s="277"/>
      <c r="J56" s="162"/>
    </row>
    <row r="57" spans="1:15" ht="32.1" customHeight="1" x14ac:dyDescent="0.3">
      <c r="A57" s="279"/>
      <c r="B57" s="280"/>
      <c r="C57" s="281"/>
      <c r="D57" s="279"/>
      <c r="E57" s="280"/>
      <c r="F57" s="281"/>
      <c r="G57" s="282"/>
      <c r="H57" s="283"/>
      <c r="I57" s="284"/>
      <c r="J57" s="162"/>
    </row>
    <row r="58" spans="1:15" x14ac:dyDescent="0.3">
      <c r="A58" s="8" t="s">
        <v>319</v>
      </c>
      <c r="J58" s="162"/>
    </row>
    <row r="59" spans="1:15" x14ac:dyDescent="0.3">
      <c r="A59" s="111"/>
      <c r="J59" s="162"/>
    </row>
    <row r="60" spans="1:15" x14ac:dyDescent="0.3">
      <c r="A60" s="109" t="str">
        <f>_xlfn.IFNA(IF(VLOOKUP(O63,$M$68:$AA$107,12,FALSE)="B3",M142,M141),"")</f>
        <v/>
      </c>
      <c r="B60" s="109"/>
      <c r="I60" s="160" t="s">
        <v>33</v>
      </c>
      <c r="M60" s="109" t="s">
        <v>177</v>
      </c>
    </row>
    <row r="61" spans="1:15" x14ac:dyDescent="0.3">
      <c r="A61" s="133" t="s">
        <v>266</v>
      </c>
      <c r="B61" s="133"/>
      <c r="H61" s="168" t="str">
        <f>IF(A60=M142,IF($C$9=$M$111,"","")&amp;O63,"")</f>
        <v/>
      </c>
      <c r="I61" s="161" t="str">
        <f>IF(A60=M142,IF($C$9=$M$111,"N-","")&amp;O63,"")</f>
        <v/>
      </c>
      <c r="M61" s="110" t="s">
        <v>178</v>
      </c>
      <c r="O61" s="110" t="str">
        <f>IF(C12=AA133,"&gt;=11.25",IF(D11&lt;5.42,"&lt;5.42",IF(D11&lt;11.25,"5.42-11.24",IF(D11&lt;20,"11.25-19.99",IF(D11&lt;63.33,"20-63.32","&gt;=63.33")))))</f>
        <v>&lt;5.42</v>
      </c>
    </row>
    <row r="62" spans="1:15" x14ac:dyDescent="0.3">
      <c r="A62" s="209" t="s">
        <v>179</v>
      </c>
      <c r="B62" s="301" t="s">
        <v>274</v>
      </c>
      <c r="C62" s="301"/>
      <c r="D62" s="301"/>
      <c r="E62" s="301"/>
      <c r="F62" s="301"/>
      <c r="G62" s="301"/>
      <c r="H62" s="301"/>
      <c r="I62" s="210" t="s">
        <v>180</v>
      </c>
      <c r="M62" s="110" t="s">
        <v>181</v>
      </c>
      <c r="O62" s="110" t="str">
        <f>IF(D17&lt;&gt;"SEER2","N/A",IF(C17&gt;=20,20,IF(C17&gt;=19,19,IF(C17&gt;=18,18,IF(C17&gt;=17,17,16)))))</f>
        <v>N/A</v>
      </c>
    </row>
    <row r="63" spans="1:15" ht="64.2" customHeight="1" x14ac:dyDescent="0.3">
      <c r="A63" s="207" t="s">
        <v>37</v>
      </c>
      <c r="B63" s="207" t="s">
        <v>168</v>
      </c>
      <c r="C63" s="207" t="s">
        <v>182</v>
      </c>
      <c r="D63" s="208" t="s">
        <v>263</v>
      </c>
      <c r="E63" s="207" t="s">
        <v>170</v>
      </c>
      <c r="F63" s="208" t="s">
        <v>271</v>
      </c>
      <c r="G63" s="207" t="s">
        <v>272</v>
      </c>
      <c r="H63" s="207" t="s">
        <v>275</v>
      </c>
      <c r="I63" s="207" t="s">
        <v>265</v>
      </c>
      <c r="M63" s="110" t="s">
        <v>183</v>
      </c>
      <c r="O63" s="110" t="e" cm="1">
        <f t="array" ref="O63">INDEX(M68:M107,MATCH(1,INDEX((C8=N68:N107)*(O61=P68:P107)*(C12=O68:O107)*(O62=Q68:Q107),0,1),0))</f>
        <v>#N/A</v>
      </c>
    </row>
    <row r="64" spans="1:15" ht="31.2" x14ac:dyDescent="0.3">
      <c r="A64" s="211" t="s">
        <v>171</v>
      </c>
      <c r="B64" s="212" t="s">
        <v>172</v>
      </c>
      <c r="C64" s="213">
        <v>12</v>
      </c>
      <c r="D64" s="213">
        <v>11.5</v>
      </c>
      <c r="E64" s="213">
        <f>C64-D64</f>
        <v>0.5</v>
      </c>
      <c r="F64" s="215">
        <f>5*E64</f>
        <v>2.5</v>
      </c>
      <c r="G64" s="215">
        <v>20</v>
      </c>
      <c r="H64" s="215">
        <f>F64+G64</f>
        <v>22.5</v>
      </c>
      <c r="I64" s="215">
        <f>H64*15</f>
        <v>337.5</v>
      </c>
    </row>
    <row r="65" spans="1:28" ht="15.75" customHeight="1" x14ac:dyDescent="0.3">
      <c r="A65" s="163"/>
      <c r="B65" s="164" t="str">
        <f>$C$13 &amp;" @ " &amp; FIXED($D$11,2)  &amp;" tons"</f>
        <v xml:space="preserve"> @ 0.00 tons</v>
      </c>
      <c r="C65" s="165" t="e">
        <f>D27</f>
        <v>#N/A</v>
      </c>
      <c r="D65" s="165" t="str">
        <f>C27</f>
        <v/>
      </c>
      <c r="E65" s="165" t="e">
        <f>C65-D65</f>
        <v>#N/A</v>
      </c>
      <c r="F65" s="166" cm="1">
        <f t="array" ref="F65">IFERROR(IF(C31="YES",VLOOKUP(O63,$M$68:$AA$101,IF(C9=$M$111,14,10),FALSE)*E65,0),0)</f>
        <v>0</v>
      </c>
      <c r="G65" s="166" t="e" cm="1">
        <f t="array" ref="G65">VLOOKUP(H61,$M$68:$AA$101,IF(C9=$M$111,13,9),FALSE)</f>
        <v>#N/A</v>
      </c>
      <c r="H65" s="167" t="e">
        <f>F65+G65</f>
        <v>#N/A</v>
      </c>
      <c r="I65" s="166" t="e">
        <f>C39</f>
        <v>#N/A</v>
      </c>
      <c r="M65" s="169">
        <v>1</v>
      </c>
      <c r="N65" s="169">
        <v>2</v>
      </c>
      <c r="O65" s="169">
        <v>3</v>
      </c>
      <c r="P65" s="169">
        <v>4</v>
      </c>
      <c r="Q65" s="169">
        <v>5</v>
      </c>
      <c r="R65" s="169">
        <v>6</v>
      </c>
      <c r="S65" s="169">
        <v>7</v>
      </c>
      <c r="T65" s="169">
        <v>8</v>
      </c>
      <c r="U65" s="169">
        <v>9</v>
      </c>
      <c r="V65" s="169">
        <v>10</v>
      </c>
      <c r="W65" s="169">
        <v>11</v>
      </c>
      <c r="X65" s="169">
        <v>12</v>
      </c>
      <c r="Y65" s="169">
        <v>13</v>
      </c>
      <c r="Z65" s="169">
        <v>14</v>
      </c>
      <c r="AA65" s="169">
        <v>15</v>
      </c>
    </row>
    <row r="66" spans="1:28" ht="16.2" thickBot="1" x14ac:dyDescent="0.35">
      <c r="A66" s="8" t="s">
        <v>319</v>
      </c>
      <c r="M66" s="170" t="s">
        <v>115</v>
      </c>
      <c r="Q66" s="290" t="s">
        <v>184</v>
      </c>
      <c r="R66" s="291"/>
      <c r="S66" s="291"/>
      <c r="T66" s="292"/>
      <c r="U66" s="290" t="s">
        <v>299</v>
      </c>
      <c r="V66" s="291"/>
      <c r="W66" s="292"/>
      <c r="Y66" s="290" t="s">
        <v>310</v>
      </c>
      <c r="Z66" s="291"/>
      <c r="AA66" s="292"/>
    </row>
    <row r="67" spans="1:28" ht="31.8" thickBot="1" x14ac:dyDescent="0.35">
      <c r="A67" s="111"/>
      <c r="M67" s="171" t="s">
        <v>33</v>
      </c>
      <c r="N67" s="171" t="s">
        <v>185</v>
      </c>
      <c r="O67" s="171" t="s">
        <v>186</v>
      </c>
      <c r="P67" s="172" t="s">
        <v>187</v>
      </c>
      <c r="Q67" s="172" t="s">
        <v>188</v>
      </c>
      <c r="R67" s="172" t="s">
        <v>24</v>
      </c>
      <c r="S67" s="172" t="s">
        <v>189</v>
      </c>
      <c r="T67" s="172" t="s">
        <v>190</v>
      </c>
      <c r="U67" s="172" t="s">
        <v>300</v>
      </c>
      <c r="V67" s="172" t="s">
        <v>308</v>
      </c>
      <c r="W67" s="172" t="s">
        <v>309</v>
      </c>
      <c r="X67" s="172" t="s">
        <v>191</v>
      </c>
      <c r="Y67" s="172" t="s">
        <v>300</v>
      </c>
      <c r="Z67" s="172" t="s">
        <v>308</v>
      </c>
      <c r="AA67" s="172" t="s">
        <v>309</v>
      </c>
      <c r="AB67" s="172" t="s">
        <v>192</v>
      </c>
    </row>
    <row r="68" spans="1:28" x14ac:dyDescent="0.3">
      <c r="L68" s="135"/>
      <c r="M68" s="173" t="s">
        <v>193</v>
      </c>
      <c r="N68" s="174" t="s">
        <v>194</v>
      </c>
      <c r="O68" s="175" t="s">
        <v>195</v>
      </c>
      <c r="P68" s="143" t="s">
        <v>196</v>
      </c>
      <c r="Q68" s="176">
        <v>16</v>
      </c>
      <c r="R68" s="177" t="s">
        <v>197</v>
      </c>
      <c r="S68" s="177" t="s">
        <v>197</v>
      </c>
      <c r="T68" s="177" t="s">
        <v>197</v>
      </c>
      <c r="U68" s="178">
        <v>75</v>
      </c>
      <c r="V68" s="178">
        <v>0</v>
      </c>
      <c r="W68" s="173" t="s">
        <v>198</v>
      </c>
      <c r="X68" s="173" t="s">
        <v>199</v>
      </c>
      <c r="Y68" s="178">
        <v>50</v>
      </c>
      <c r="Z68" s="178">
        <v>0</v>
      </c>
      <c r="AA68" s="173" t="s">
        <v>198</v>
      </c>
      <c r="AB68" s="174" t="s">
        <v>200</v>
      </c>
    </row>
    <row r="69" spans="1:28" x14ac:dyDescent="0.3">
      <c r="A69" s="129"/>
      <c r="L69" s="135"/>
      <c r="M69" s="173" t="s">
        <v>201</v>
      </c>
      <c r="N69" s="174" t="s">
        <v>194</v>
      </c>
      <c r="O69" s="175" t="s">
        <v>195</v>
      </c>
      <c r="P69" s="143" t="s">
        <v>196</v>
      </c>
      <c r="Q69" s="176">
        <v>17</v>
      </c>
      <c r="R69" s="177" t="s">
        <v>197</v>
      </c>
      <c r="S69" s="177" t="s">
        <v>197</v>
      </c>
      <c r="T69" s="177" t="s">
        <v>197</v>
      </c>
      <c r="U69" s="178">
        <v>100</v>
      </c>
      <c r="V69" s="178">
        <v>0</v>
      </c>
      <c r="W69" s="173" t="s">
        <v>198</v>
      </c>
      <c r="X69" s="173" t="s">
        <v>199</v>
      </c>
      <c r="Y69" s="178">
        <v>75</v>
      </c>
      <c r="Z69" s="178">
        <v>0</v>
      </c>
      <c r="AA69" s="173" t="s">
        <v>198</v>
      </c>
      <c r="AB69" s="174" t="s">
        <v>202</v>
      </c>
    </row>
    <row r="70" spans="1:28" x14ac:dyDescent="0.3">
      <c r="A70" s="129"/>
      <c r="L70" s="135"/>
      <c r="M70" s="173" t="s">
        <v>203</v>
      </c>
      <c r="N70" s="174" t="s">
        <v>194</v>
      </c>
      <c r="O70" s="175" t="s">
        <v>195</v>
      </c>
      <c r="P70" s="143" t="s">
        <v>196</v>
      </c>
      <c r="Q70" s="176">
        <v>18</v>
      </c>
      <c r="R70" s="177" t="s">
        <v>197</v>
      </c>
      <c r="S70" s="177" t="s">
        <v>197</v>
      </c>
      <c r="T70" s="177" t="s">
        <v>197</v>
      </c>
      <c r="U70" s="178">
        <v>125</v>
      </c>
      <c r="V70" s="178">
        <v>0</v>
      </c>
      <c r="W70" s="173" t="s">
        <v>198</v>
      </c>
      <c r="X70" s="173" t="s">
        <v>199</v>
      </c>
      <c r="Y70" s="178">
        <v>100</v>
      </c>
      <c r="Z70" s="178">
        <v>0</v>
      </c>
      <c r="AA70" s="173" t="s">
        <v>198</v>
      </c>
      <c r="AB70" s="174" t="s">
        <v>204</v>
      </c>
    </row>
    <row r="71" spans="1:28" x14ac:dyDescent="0.3">
      <c r="A71" s="129"/>
      <c r="L71" s="135"/>
      <c r="M71" s="173" t="s">
        <v>205</v>
      </c>
      <c r="N71" s="174" t="s">
        <v>194</v>
      </c>
      <c r="O71" s="175" t="s">
        <v>195</v>
      </c>
      <c r="P71" s="143" t="s">
        <v>196</v>
      </c>
      <c r="Q71" s="176">
        <v>19</v>
      </c>
      <c r="R71" s="177" t="s">
        <v>197</v>
      </c>
      <c r="S71" s="177" t="s">
        <v>197</v>
      </c>
      <c r="T71" s="177" t="s">
        <v>197</v>
      </c>
      <c r="U71" s="178">
        <v>175</v>
      </c>
      <c r="V71" s="178">
        <v>0</v>
      </c>
      <c r="W71" s="173" t="s">
        <v>198</v>
      </c>
      <c r="X71" s="173" t="s">
        <v>199</v>
      </c>
      <c r="Y71" s="178">
        <v>125</v>
      </c>
      <c r="Z71" s="178">
        <v>0</v>
      </c>
      <c r="AA71" s="173" t="s">
        <v>198</v>
      </c>
      <c r="AB71" s="174" t="s">
        <v>206</v>
      </c>
    </row>
    <row r="72" spans="1:28" x14ac:dyDescent="0.3">
      <c r="A72" s="129"/>
      <c r="L72" s="135"/>
      <c r="M72" s="173" t="s">
        <v>207</v>
      </c>
      <c r="N72" s="174" t="s">
        <v>194</v>
      </c>
      <c r="O72" s="175" t="s">
        <v>195</v>
      </c>
      <c r="P72" s="143" t="s">
        <v>196</v>
      </c>
      <c r="Q72" s="176">
        <v>20</v>
      </c>
      <c r="R72" s="177" t="s">
        <v>197</v>
      </c>
      <c r="S72" s="177" t="s">
        <v>197</v>
      </c>
      <c r="T72" s="177" t="s">
        <v>197</v>
      </c>
      <c r="U72" s="178">
        <v>200</v>
      </c>
      <c r="V72" s="178">
        <v>0</v>
      </c>
      <c r="W72" s="173" t="s">
        <v>198</v>
      </c>
      <c r="X72" s="173" t="s">
        <v>199</v>
      </c>
      <c r="Y72" s="178">
        <v>150</v>
      </c>
      <c r="Z72" s="178">
        <v>0</v>
      </c>
      <c r="AA72" s="173" t="s">
        <v>198</v>
      </c>
      <c r="AB72" s="174" t="s">
        <v>208</v>
      </c>
    </row>
    <row r="73" spans="1:28" x14ac:dyDescent="0.3">
      <c r="L73" s="135"/>
      <c r="M73" s="173" t="s">
        <v>193</v>
      </c>
      <c r="N73" s="174" t="s">
        <v>194</v>
      </c>
      <c r="O73" s="175" t="s">
        <v>209</v>
      </c>
      <c r="P73" s="143" t="s">
        <v>196</v>
      </c>
      <c r="Q73" s="176">
        <v>16</v>
      </c>
      <c r="R73" s="177" t="s">
        <v>197</v>
      </c>
      <c r="S73" s="177" t="s">
        <v>197</v>
      </c>
      <c r="T73" s="177" t="s">
        <v>197</v>
      </c>
      <c r="U73" s="178">
        <v>75</v>
      </c>
      <c r="V73" s="178">
        <v>0</v>
      </c>
      <c r="W73" s="173" t="s">
        <v>198</v>
      </c>
      <c r="X73" s="173" t="s">
        <v>199</v>
      </c>
      <c r="Y73" s="178">
        <v>50</v>
      </c>
      <c r="Z73" s="178">
        <v>0</v>
      </c>
      <c r="AA73" s="173" t="s">
        <v>198</v>
      </c>
      <c r="AB73" s="174" t="s">
        <v>200</v>
      </c>
    </row>
    <row r="74" spans="1:28" x14ac:dyDescent="0.3">
      <c r="L74" s="135"/>
      <c r="M74" s="173" t="s">
        <v>201</v>
      </c>
      <c r="N74" s="174" t="s">
        <v>194</v>
      </c>
      <c r="O74" s="175" t="s">
        <v>209</v>
      </c>
      <c r="P74" s="143" t="s">
        <v>196</v>
      </c>
      <c r="Q74" s="176">
        <v>17</v>
      </c>
      <c r="R74" s="177" t="s">
        <v>197</v>
      </c>
      <c r="S74" s="177" t="s">
        <v>197</v>
      </c>
      <c r="T74" s="177" t="s">
        <v>197</v>
      </c>
      <c r="U74" s="178">
        <v>100</v>
      </c>
      <c r="V74" s="178">
        <v>0</v>
      </c>
      <c r="W74" s="173" t="s">
        <v>198</v>
      </c>
      <c r="X74" s="173" t="s">
        <v>199</v>
      </c>
      <c r="Y74" s="178">
        <v>75</v>
      </c>
      <c r="Z74" s="178">
        <v>0</v>
      </c>
      <c r="AA74" s="173" t="s">
        <v>198</v>
      </c>
      <c r="AB74" s="174" t="s">
        <v>202</v>
      </c>
    </row>
    <row r="75" spans="1:28" x14ac:dyDescent="0.3">
      <c r="L75" s="135"/>
      <c r="M75" s="173" t="s">
        <v>203</v>
      </c>
      <c r="N75" s="174" t="s">
        <v>194</v>
      </c>
      <c r="O75" s="175" t="s">
        <v>209</v>
      </c>
      <c r="P75" s="143" t="s">
        <v>196</v>
      </c>
      <c r="Q75" s="176">
        <v>18</v>
      </c>
      <c r="R75" s="177" t="s">
        <v>197</v>
      </c>
      <c r="S75" s="177" t="s">
        <v>197</v>
      </c>
      <c r="T75" s="177" t="s">
        <v>197</v>
      </c>
      <c r="U75" s="178">
        <v>125</v>
      </c>
      <c r="V75" s="178">
        <v>0</v>
      </c>
      <c r="W75" s="173" t="s">
        <v>198</v>
      </c>
      <c r="X75" s="173" t="s">
        <v>199</v>
      </c>
      <c r="Y75" s="178">
        <v>100</v>
      </c>
      <c r="Z75" s="178">
        <v>0</v>
      </c>
      <c r="AA75" s="173" t="s">
        <v>198</v>
      </c>
      <c r="AB75" s="174" t="s">
        <v>204</v>
      </c>
    </row>
    <row r="76" spans="1:28" x14ac:dyDescent="0.3">
      <c r="L76" s="135"/>
      <c r="M76" s="173" t="s">
        <v>205</v>
      </c>
      <c r="N76" s="174" t="s">
        <v>194</v>
      </c>
      <c r="O76" s="175" t="s">
        <v>209</v>
      </c>
      <c r="P76" s="143" t="s">
        <v>196</v>
      </c>
      <c r="Q76" s="176">
        <v>19</v>
      </c>
      <c r="R76" s="177" t="s">
        <v>197</v>
      </c>
      <c r="S76" s="177" t="s">
        <v>197</v>
      </c>
      <c r="T76" s="177" t="s">
        <v>197</v>
      </c>
      <c r="U76" s="178">
        <v>175</v>
      </c>
      <c r="V76" s="178">
        <v>0</v>
      </c>
      <c r="W76" s="173" t="s">
        <v>198</v>
      </c>
      <c r="X76" s="173" t="s">
        <v>199</v>
      </c>
      <c r="Y76" s="178">
        <v>125</v>
      </c>
      <c r="Z76" s="178">
        <v>0</v>
      </c>
      <c r="AA76" s="173" t="s">
        <v>198</v>
      </c>
      <c r="AB76" s="174" t="s">
        <v>206</v>
      </c>
    </row>
    <row r="77" spans="1:28" x14ac:dyDescent="0.3">
      <c r="L77" s="135"/>
      <c r="M77" s="173" t="s">
        <v>207</v>
      </c>
      <c r="N77" s="174" t="s">
        <v>194</v>
      </c>
      <c r="O77" s="175" t="s">
        <v>209</v>
      </c>
      <c r="P77" s="143" t="s">
        <v>196</v>
      </c>
      <c r="Q77" s="176">
        <v>20</v>
      </c>
      <c r="R77" s="177" t="s">
        <v>197</v>
      </c>
      <c r="S77" s="177" t="s">
        <v>197</v>
      </c>
      <c r="T77" s="177" t="s">
        <v>197</v>
      </c>
      <c r="U77" s="178">
        <v>200</v>
      </c>
      <c r="V77" s="178">
        <v>0</v>
      </c>
      <c r="W77" s="173" t="s">
        <v>198</v>
      </c>
      <c r="X77" s="173" t="s">
        <v>199</v>
      </c>
      <c r="Y77" s="178">
        <v>150</v>
      </c>
      <c r="Z77" s="178">
        <v>0</v>
      </c>
      <c r="AA77" s="173" t="s">
        <v>198</v>
      </c>
      <c r="AB77" s="174" t="s">
        <v>208</v>
      </c>
    </row>
    <row r="78" spans="1:28" x14ac:dyDescent="0.3">
      <c r="L78" s="135"/>
      <c r="M78" s="173" t="s">
        <v>193</v>
      </c>
      <c r="N78" s="174" t="s">
        <v>122</v>
      </c>
      <c r="O78" s="175" t="s">
        <v>195</v>
      </c>
      <c r="P78" s="143" t="s">
        <v>196</v>
      </c>
      <c r="Q78" s="176">
        <v>16</v>
      </c>
      <c r="R78" s="177" t="s">
        <v>197</v>
      </c>
      <c r="S78" s="177" t="s">
        <v>197</v>
      </c>
      <c r="T78" s="177" t="s">
        <v>197</v>
      </c>
      <c r="U78" s="178">
        <v>75</v>
      </c>
      <c r="V78" s="178">
        <v>0</v>
      </c>
      <c r="W78" s="173" t="s">
        <v>198</v>
      </c>
      <c r="X78" s="173" t="s">
        <v>199</v>
      </c>
      <c r="Y78" s="178">
        <v>50</v>
      </c>
      <c r="Z78" s="178">
        <v>0</v>
      </c>
      <c r="AA78" s="173" t="s">
        <v>198</v>
      </c>
      <c r="AB78" s="174" t="s">
        <v>200</v>
      </c>
    </row>
    <row r="79" spans="1:28" x14ac:dyDescent="0.3">
      <c r="L79" s="135"/>
      <c r="M79" s="173" t="s">
        <v>201</v>
      </c>
      <c r="N79" s="174" t="s">
        <v>122</v>
      </c>
      <c r="O79" s="175" t="s">
        <v>195</v>
      </c>
      <c r="P79" s="143" t="s">
        <v>196</v>
      </c>
      <c r="Q79" s="176">
        <v>17</v>
      </c>
      <c r="R79" s="177" t="s">
        <v>197</v>
      </c>
      <c r="S79" s="177" t="s">
        <v>197</v>
      </c>
      <c r="T79" s="177" t="s">
        <v>197</v>
      </c>
      <c r="U79" s="178">
        <v>100</v>
      </c>
      <c r="V79" s="178">
        <v>0</v>
      </c>
      <c r="W79" s="173" t="s">
        <v>198</v>
      </c>
      <c r="X79" s="173" t="s">
        <v>199</v>
      </c>
      <c r="Y79" s="178">
        <v>75</v>
      </c>
      <c r="Z79" s="178">
        <v>0</v>
      </c>
      <c r="AA79" s="173" t="s">
        <v>198</v>
      </c>
      <c r="AB79" s="174" t="s">
        <v>202</v>
      </c>
    </row>
    <row r="80" spans="1:28" x14ac:dyDescent="0.3">
      <c r="L80" s="135"/>
      <c r="M80" s="173" t="s">
        <v>203</v>
      </c>
      <c r="N80" s="174" t="s">
        <v>122</v>
      </c>
      <c r="O80" s="175" t="s">
        <v>195</v>
      </c>
      <c r="P80" s="143" t="s">
        <v>196</v>
      </c>
      <c r="Q80" s="176">
        <v>18</v>
      </c>
      <c r="R80" s="177" t="s">
        <v>197</v>
      </c>
      <c r="S80" s="177" t="s">
        <v>197</v>
      </c>
      <c r="T80" s="177" t="s">
        <v>197</v>
      </c>
      <c r="U80" s="178">
        <v>125</v>
      </c>
      <c r="V80" s="178">
        <v>0</v>
      </c>
      <c r="W80" s="173" t="s">
        <v>198</v>
      </c>
      <c r="X80" s="173" t="s">
        <v>199</v>
      </c>
      <c r="Y80" s="178">
        <v>100</v>
      </c>
      <c r="Z80" s="178">
        <v>0</v>
      </c>
      <c r="AA80" s="173" t="s">
        <v>198</v>
      </c>
      <c r="AB80" s="174" t="s">
        <v>204</v>
      </c>
    </row>
    <row r="81" spans="12:29" x14ac:dyDescent="0.3">
      <c r="L81" s="135"/>
      <c r="M81" s="173" t="s">
        <v>205</v>
      </c>
      <c r="N81" s="174" t="s">
        <v>122</v>
      </c>
      <c r="O81" s="175" t="s">
        <v>195</v>
      </c>
      <c r="P81" s="143" t="s">
        <v>196</v>
      </c>
      <c r="Q81" s="176">
        <v>19</v>
      </c>
      <c r="R81" s="177" t="s">
        <v>197</v>
      </c>
      <c r="S81" s="177" t="s">
        <v>197</v>
      </c>
      <c r="T81" s="177" t="s">
        <v>197</v>
      </c>
      <c r="U81" s="178">
        <v>175</v>
      </c>
      <c r="V81" s="178">
        <v>0</v>
      </c>
      <c r="W81" s="173" t="s">
        <v>198</v>
      </c>
      <c r="X81" s="173" t="s">
        <v>199</v>
      </c>
      <c r="Y81" s="178">
        <v>125</v>
      </c>
      <c r="Z81" s="178">
        <v>0</v>
      </c>
      <c r="AA81" s="173" t="s">
        <v>198</v>
      </c>
      <c r="AB81" s="174" t="s">
        <v>206</v>
      </c>
    </row>
    <row r="82" spans="12:29" x14ac:dyDescent="0.3">
      <c r="L82" s="135"/>
      <c r="M82" s="173" t="s">
        <v>207</v>
      </c>
      <c r="N82" s="174" t="s">
        <v>122</v>
      </c>
      <c r="O82" s="175" t="s">
        <v>195</v>
      </c>
      <c r="P82" s="143" t="s">
        <v>196</v>
      </c>
      <c r="Q82" s="176">
        <v>20</v>
      </c>
      <c r="R82" s="177" t="s">
        <v>197</v>
      </c>
      <c r="S82" s="177" t="s">
        <v>197</v>
      </c>
      <c r="T82" s="177" t="s">
        <v>197</v>
      </c>
      <c r="U82" s="178">
        <v>200</v>
      </c>
      <c r="V82" s="178">
        <v>0</v>
      </c>
      <c r="W82" s="173" t="s">
        <v>198</v>
      </c>
      <c r="X82" s="173" t="s">
        <v>199</v>
      </c>
      <c r="Y82" s="178">
        <v>150</v>
      </c>
      <c r="Z82" s="178">
        <v>0</v>
      </c>
      <c r="AA82" s="173" t="s">
        <v>198</v>
      </c>
      <c r="AB82" s="174" t="s">
        <v>208</v>
      </c>
    </row>
    <row r="83" spans="12:29" x14ac:dyDescent="0.3">
      <c r="L83" s="135"/>
      <c r="M83" s="173" t="s">
        <v>193</v>
      </c>
      <c r="N83" s="174" t="s">
        <v>122</v>
      </c>
      <c r="O83" s="175" t="s">
        <v>209</v>
      </c>
      <c r="P83" s="143" t="s">
        <v>196</v>
      </c>
      <c r="Q83" s="176">
        <v>16</v>
      </c>
      <c r="R83" s="177" t="s">
        <v>197</v>
      </c>
      <c r="S83" s="177" t="s">
        <v>197</v>
      </c>
      <c r="T83" s="177" t="s">
        <v>197</v>
      </c>
      <c r="U83" s="178">
        <v>75</v>
      </c>
      <c r="V83" s="178">
        <v>0</v>
      </c>
      <c r="W83" s="173" t="s">
        <v>198</v>
      </c>
      <c r="X83" s="173" t="s">
        <v>199</v>
      </c>
      <c r="Y83" s="178">
        <v>50</v>
      </c>
      <c r="Z83" s="178">
        <v>0</v>
      </c>
      <c r="AA83" s="173" t="s">
        <v>198</v>
      </c>
      <c r="AB83" s="174" t="s">
        <v>200</v>
      </c>
    </row>
    <row r="84" spans="12:29" x14ac:dyDescent="0.3">
      <c r="L84" s="135"/>
      <c r="M84" s="173" t="s">
        <v>201</v>
      </c>
      <c r="N84" s="174" t="s">
        <v>122</v>
      </c>
      <c r="O84" s="175" t="s">
        <v>209</v>
      </c>
      <c r="P84" s="143" t="s">
        <v>196</v>
      </c>
      <c r="Q84" s="176">
        <v>17</v>
      </c>
      <c r="R84" s="177" t="s">
        <v>197</v>
      </c>
      <c r="S84" s="177" t="s">
        <v>197</v>
      </c>
      <c r="T84" s="177" t="s">
        <v>197</v>
      </c>
      <c r="U84" s="178">
        <v>100</v>
      </c>
      <c r="V84" s="178">
        <v>0</v>
      </c>
      <c r="W84" s="173" t="s">
        <v>198</v>
      </c>
      <c r="X84" s="173" t="s">
        <v>199</v>
      </c>
      <c r="Y84" s="178">
        <v>75</v>
      </c>
      <c r="Z84" s="178">
        <v>0</v>
      </c>
      <c r="AA84" s="173" t="s">
        <v>198</v>
      </c>
      <c r="AB84" s="174" t="s">
        <v>202</v>
      </c>
    </row>
    <row r="85" spans="12:29" x14ac:dyDescent="0.3">
      <c r="L85" s="135"/>
      <c r="M85" s="173" t="s">
        <v>203</v>
      </c>
      <c r="N85" s="174" t="s">
        <v>122</v>
      </c>
      <c r="O85" s="175" t="s">
        <v>209</v>
      </c>
      <c r="P85" s="143" t="s">
        <v>196</v>
      </c>
      <c r="Q85" s="176">
        <v>18</v>
      </c>
      <c r="R85" s="177" t="s">
        <v>197</v>
      </c>
      <c r="S85" s="177" t="s">
        <v>197</v>
      </c>
      <c r="T85" s="177" t="s">
        <v>197</v>
      </c>
      <c r="U85" s="178">
        <v>125</v>
      </c>
      <c r="V85" s="178">
        <v>0</v>
      </c>
      <c r="W85" s="173" t="s">
        <v>198</v>
      </c>
      <c r="X85" s="173" t="s">
        <v>199</v>
      </c>
      <c r="Y85" s="178">
        <v>100</v>
      </c>
      <c r="Z85" s="178">
        <v>0</v>
      </c>
      <c r="AA85" s="173" t="s">
        <v>198</v>
      </c>
      <c r="AB85" s="174" t="s">
        <v>204</v>
      </c>
    </row>
    <row r="86" spans="12:29" x14ac:dyDescent="0.3">
      <c r="L86" s="135"/>
      <c r="M86" s="173" t="s">
        <v>205</v>
      </c>
      <c r="N86" s="174" t="s">
        <v>122</v>
      </c>
      <c r="O86" s="175" t="s">
        <v>209</v>
      </c>
      <c r="P86" s="143" t="s">
        <v>196</v>
      </c>
      <c r="Q86" s="176">
        <v>19</v>
      </c>
      <c r="R86" s="177" t="s">
        <v>197</v>
      </c>
      <c r="S86" s="177" t="s">
        <v>197</v>
      </c>
      <c r="T86" s="177" t="s">
        <v>197</v>
      </c>
      <c r="U86" s="178">
        <v>175</v>
      </c>
      <c r="V86" s="178">
        <v>0</v>
      </c>
      <c r="W86" s="173" t="s">
        <v>198</v>
      </c>
      <c r="X86" s="173" t="s">
        <v>199</v>
      </c>
      <c r="Y86" s="178">
        <v>125</v>
      </c>
      <c r="Z86" s="178">
        <v>0</v>
      </c>
      <c r="AA86" s="173" t="s">
        <v>198</v>
      </c>
      <c r="AB86" s="174" t="s">
        <v>206</v>
      </c>
    </row>
    <row r="87" spans="12:29" x14ac:dyDescent="0.3">
      <c r="L87" s="135"/>
      <c r="M87" s="173" t="s">
        <v>207</v>
      </c>
      <c r="N87" s="174" t="s">
        <v>122</v>
      </c>
      <c r="O87" s="175" t="s">
        <v>209</v>
      </c>
      <c r="P87" s="143" t="s">
        <v>196</v>
      </c>
      <c r="Q87" s="176">
        <v>20</v>
      </c>
      <c r="R87" s="177" t="s">
        <v>197</v>
      </c>
      <c r="S87" s="177" t="s">
        <v>197</v>
      </c>
      <c r="T87" s="177" t="s">
        <v>197</v>
      </c>
      <c r="U87" s="178">
        <v>200</v>
      </c>
      <c r="V87" s="178">
        <v>0</v>
      </c>
      <c r="W87" s="173" t="s">
        <v>198</v>
      </c>
      <c r="X87" s="173" t="s">
        <v>199</v>
      </c>
      <c r="Y87" s="178">
        <v>150</v>
      </c>
      <c r="Z87" s="178">
        <v>0</v>
      </c>
      <c r="AA87" s="173" t="s">
        <v>198</v>
      </c>
      <c r="AB87" s="174" t="s">
        <v>208</v>
      </c>
    </row>
    <row r="88" spans="12:29" x14ac:dyDescent="0.3">
      <c r="L88" s="135"/>
      <c r="M88" s="173" t="s">
        <v>210</v>
      </c>
      <c r="N88" s="174" t="s">
        <v>122</v>
      </c>
      <c r="O88" s="175" t="s">
        <v>211</v>
      </c>
      <c r="P88" s="143" t="s">
        <v>196</v>
      </c>
      <c r="Q88" s="176">
        <v>16</v>
      </c>
      <c r="R88" s="177" t="s">
        <v>197</v>
      </c>
      <c r="S88" s="177" t="s">
        <v>197</v>
      </c>
      <c r="T88" s="179">
        <v>8.5</v>
      </c>
      <c r="U88" s="178" t="s">
        <v>197</v>
      </c>
      <c r="V88" s="178">
        <v>0</v>
      </c>
      <c r="W88" s="173" t="s">
        <v>198</v>
      </c>
      <c r="X88" s="173" t="s">
        <v>199</v>
      </c>
      <c r="Y88" s="178" t="s">
        <v>197</v>
      </c>
      <c r="Z88" s="178">
        <v>0</v>
      </c>
      <c r="AA88" s="173" t="s">
        <v>198</v>
      </c>
      <c r="AB88" s="174" t="s">
        <v>212</v>
      </c>
    </row>
    <row r="89" spans="12:29" x14ac:dyDescent="0.3">
      <c r="L89" s="135"/>
      <c r="M89" s="173" t="s">
        <v>213</v>
      </c>
      <c r="N89" s="174" t="s">
        <v>122</v>
      </c>
      <c r="O89" s="175" t="s">
        <v>211</v>
      </c>
      <c r="P89" s="143" t="s">
        <v>196</v>
      </c>
      <c r="Q89" s="176">
        <v>17</v>
      </c>
      <c r="R89" s="177" t="s">
        <v>197</v>
      </c>
      <c r="S89" s="177" t="s">
        <v>197</v>
      </c>
      <c r="T89" s="179">
        <v>8.5</v>
      </c>
      <c r="U89" s="178" t="s">
        <v>197</v>
      </c>
      <c r="V89" s="178">
        <v>0</v>
      </c>
      <c r="W89" s="173" t="s">
        <v>198</v>
      </c>
      <c r="X89" s="173" t="s">
        <v>199</v>
      </c>
      <c r="Y89" s="178" t="s">
        <v>197</v>
      </c>
      <c r="Z89" s="178">
        <v>0</v>
      </c>
      <c r="AA89" s="173" t="s">
        <v>198</v>
      </c>
      <c r="AB89" s="174" t="s">
        <v>214</v>
      </c>
    </row>
    <row r="90" spans="12:29" x14ac:dyDescent="0.3">
      <c r="L90" s="135"/>
      <c r="M90" s="173" t="s">
        <v>215</v>
      </c>
      <c r="N90" s="174" t="s">
        <v>122</v>
      </c>
      <c r="O90" s="175" t="s">
        <v>211</v>
      </c>
      <c r="P90" s="143" t="s">
        <v>196</v>
      </c>
      <c r="Q90" s="176">
        <v>18</v>
      </c>
      <c r="R90" s="177" t="s">
        <v>197</v>
      </c>
      <c r="S90" s="177" t="s">
        <v>197</v>
      </c>
      <c r="T90" s="179">
        <v>8.5</v>
      </c>
      <c r="U90" s="178" t="s">
        <v>197</v>
      </c>
      <c r="V90" s="178">
        <v>0</v>
      </c>
      <c r="W90" s="173" t="s">
        <v>198</v>
      </c>
      <c r="X90" s="173" t="s">
        <v>199</v>
      </c>
      <c r="Y90" s="178" t="s">
        <v>197</v>
      </c>
      <c r="Z90" s="178">
        <v>0</v>
      </c>
      <c r="AA90" s="173" t="s">
        <v>198</v>
      </c>
      <c r="AB90" s="174" t="s">
        <v>216</v>
      </c>
    </row>
    <row r="91" spans="12:29" x14ac:dyDescent="0.3">
      <c r="L91" s="135"/>
      <c r="M91" s="173" t="s">
        <v>217</v>
      </c>
      <c r="N91" s="174" t="s">
        <v>122</v>
      </c>
      <c r="O91" s="175" t="s">
        <v>211</v>
      </c>
      <c r="P91" s="143" t="s">
        <v>196</v>
      </c>
      <c r="Q91" s="176">
        <v>19</v>
      </c>
      <c r="R91" s="177" t="s">
        <v>197</v>
      </c>
      <c r="S91" s="177" t="s">
        <v>197</v>
      </c>
      <c r="T91" s="179">
        <v>8.5</v>
      </c>
      <c r="U91" s="178" t="s">
        <v>197</v>
      </c>
      <c r="V91" s="178">
        <v>0</v>
      </c>
      <c r="W91" s="173" t="s">
        <v>198</v>
      </c>
      <c r="X91" s="173" t="s">
        <v>199</v>
      </c>
      <c r="Y91" s="178" t="s">
        <v>197</v>
      </c>
      <c r="Z91" s="178">
        <v>0</v>
      </c>
      <c r="AA91" s="173" t="s">
        <v>198</v>
      </c>
      <c r="AB91" s="174" t="s">
        <v>218</v>
      </c>
    </row>
    <row r="92" spans="12:29" x14ac:dyDescent="0.3">
      <c r="L92" s="135"/>
      <c r="M92" s="173" t="s">
        <v>219</v>
      </c>
      <c r="N92" s="174" t="s">
        <v>122</v>
      </c>
      <c r="O92" s="175" t="s">
        <v>211</v>
      </c>
      <c r="P92" s="143" t="s">
        <v>196</v>
      </c>
      <c r="Q92" s="176">
        <v>20</v>
      </c>
      <c r="R92" s="177" t="s">
        <v>197</v>
      </c>
      <c r="S92" s="177" t="s">
        <v>197</v>
      </c>
      <c r="T92" s="179">
        <v>8.5</v>
      </c>
      <c r="U92" s="178" t="s">
        <v>197</v>
      </c>
      <c r="V92" s="178">
        <v>0</v>
      </c>
      <c r="W92" s="173" t="s">
        <v>198</v>
      </c>
      <c r="X92" s="173" t="s">
        <v>199</v>
      </c>
      <c r="Y92" s="178" t="s">
        <v>197</v>
      </c>
      <c r="Z92" s="178">
        <v>0</v>
      </c>
      <c r="AA92" s="173" t="s">
        <v>198</v>
      </c>
      <c r="AB92" s="174" t="s">
        <v>220</v>
      </c>
    </row>
    <row r="93" spans="12:29" x14ac:dyDescent="0.3">
      <c r="L93" s="135"/>
      <c r="M93" s="173" t="s">
        <v>221</v>
      </c>
      <c r="N93" s="174" t="s">
        <v>122</v>
      </c>
      <c r="O93" s="175" t="s">
        <v>195</v>
      </c>
      <c r="P93" s="180" t="s">
        <v>222</v>
      </c>
      <c r="Q93" s="177" t="s">
        <v>197</v>
      </c>
      <c r="R93" s="177" t="s">
        <v>197</v>
      </c>
      <c r="S93" s="181">
        <v>16.100000000000001</v>
      </c>
      <c r="T93" s="177" t="s">
        <v>197</v>
      </c>
      <c r="U93" s="178">
        <v>30</v>
      </c>
      <c r="V93" s="178">
        <v>5</v>
      </c>
      <c r="W93" s="173" t="s">
        <v>223</v>
      </c>
      <c r="X93" s="173" t="s">
        <v>166</v>
      </c>
      <c r="Y93" s="178">
        <v>25</v>
      </c>
      <c r="Z93" s="178">
        <v>3</v>
      </c>
      <c r="AA93" s="173" t="s">
        <v>223</v>
      </c>
      <c r="AB93" s="174" t="s">
        <v>301</v>
      </c>
      <c r="AC93" s="105" t="s">
        <v>302</v>
      </c>
    </row>
    <row r="94" spans="12:29" x14ac:dyDescent="0.3">
      <c r="L94" s="135"/>
      <c r="M94" s="173" t="s">
        <v>221</v>
      </c>
      <c r="N94" s="174" t="s">
        <v>122</v>
      </c>
      <c r="O94" s="175" t="s">
        <v>209</v>
      </c>
      <c r="P94" s="180" t="s">
        <v>222</v>
      </c>
      <c r="Q94" s="177" t="s">
        <v>197</v>
      </c>
      <c r="R94" s="177" t="s">
        <v>197</v>
      </c>
      <c r="S94" s="181">
        <v>16.100000000000001</v>
      </c>
      <c r="T94" s="177" t="s">
        <v>197</v>
      </c>
      <c r="U94" s="178">
        <v>30</v>
      </c>
      <c r="V94" s="178">
        <v>5</v>
      </c>
      <c r="W94" s="173" t="s">
        <v>223</v>
      </c>
      <c r="X94" s="173" t="s">
        <v>166</v>
      </c>
      <c r="Y94" s="178">
        <v>25</v>
      </c>
      <c r="Z94" s="178">
        <v>3</v>
      </c>
      <c r="AA94" s="173" t="s">
        <v>223</v>
      </c>
      <c r="AB94" s="174" t="s">
        <v>301</v>
      </c>
      <c r="AC94" s="105" t="s">
        <v>302</v>
      </c>
    </row>
    <row r="95" spans="12:29" x14ac:dyDescent="0.3">
      <c r="L95" s="135"/>
      <c r="M95" s="173" t="s">
        <v>224</v>
      </c>
      <c r="N95" s="174" t="s">
        <v>122</v>
      </c>
      <c r="O95" s="175" t="s">
        <v>195</v>
      </c>
      <c r="P95" s="180" t="s">
        <v>225</v>
      </c>
      <c r="Q95" s="177" t="s">
        <v>197</v>
      </c>
      <c r="R95" s="177" t="s">
        <v>197</v>
      </c>
      <c r="S95" s="181">
        <v>15.4</v>
      </c>
      <c r="T95" s="177" t="s">
        <v>197</v>
      </c>
      <c r="U95" s="178">
        <v>30</v>
      </c>
      <c r="V95" s="178">
        <v>5</v>
      </c>
      <c r="W95" s="173" t="s">
        <v>223</v>
      </c>
      <c r="X95" s="173" t="s">
        <v>166</v>
      </c>
      <c r="Y95" s="178">
        <v>25</v>
      </c>
      <c r="Z95" s="178">
        <v>3</v>
      </c>
      <c r="AA95" s="173" t="s">
        <v>223</v>
      </c>
      <c r="AB95" s="174" t="s">
        <v>303</v>
      </c>
      <c r="AC95" s="105" t="s">
        <v>302</v>
      </c>
    </row>
    <row r="96" spans="12:29" x14ac:dyDescent="0.3">
      <c r="L96" s="135"/>
      <c r="M96" s="173" t="s">
        <v>224</v>
      </c>
      <c r="N96" s="174" t="s">
        <v>122</v>
      </c>
      <c r="O96" s="175" t="s">
        <v>209</v>
      </c>
      <c r="P96" s="180" t="s">
        <v>225</v>
      </c>
      <c r="Q96" s="177" t="s">
        <v>197</v>
      </c>
      <c r="R96" s="177" t="s">
        <v>197</v>
      </c>
      <c r="S96" s="181">
        <v>15.4</v>
      </c>
      <c r="T96" s="177" t="s">
        <v>197</v>
      </c>
      <c r="U96" s="178">
        <v>30</v>
      </c>
      <c r="V96" s="178">
        <v>5</v>
      </c>
      <c r="W96" s="173" t="s">
        <v>223</v>
      </c>
      <c r="X96" s="173" t="s">
        <v>166</v>
      </c>
      <c r="Y96" s="178">
        <v>25</v>
      </c>
      <c r="Z96" s="178">
        <v>3</v>
      </c>
      <c r="AA96" s="173" t="s">
        <v>223</v>
      </c>
      <c r="AB96" s="174" t="s">
        <v>303</v>
      </c>
      <c r="AC96" s="105" t="s">
        <v>302</v>
      </c>
    </row>
    <row r="97" spans="12:29" x14ac:dyDescent="0.3">
      <c r="L97" s="135"/>
      <c r="M97" s="173" t="s">
        <v>226</v>
      </c>
      <c r="N97" s="174" t="s">
        <v>122</v>
      </c>
      <c r="O97" s="175" t="s">
        <v>195</v>
      </c>
      <c r="P97" s="180" t="s">
        <v>227</v>
      </c>
      <c r="Q97" s="177" t="s">
        <v>197</v>
      </c>
      <c r="R97" s="177" t="s">
        <v>197</v>
      </c>
      <c r="S97" s="181">
        <v>14.3</v>
      </c>
      <c r="T97" s="177" t="s">
        <v>197</v>
      </c>
      <c r="U97" s="178">
        <v>30</v>
      </c>
      <c r="V97" s="178">
        <v>5</v>
      </c>
      <c r="W97" s="173" t="s">
        <v>223</v>
      </c>
      <c r="X97" s="173" t="s">
        <v>166</v>
      </c>
      <c r="Y97" s="178">
        <v>25</v>
      </c>
      <c r="Z97" s="178">
        <v>3</v>
      </c>
      <c r="AA97" s="173" t="s">
        <v>223</v>
      </c>
      <c r="AB97" s="174" t="s">
        <v>304</v>
      </c>
      <c r="AC97" s="105" t="s">
        <v>302</v>
      </c>
    </row>
    <row r="98" spans="12:29" x14ac:dyDescent="0.3">
      <c r="L98" s="135"/>
      <c r="M98" s="173" t="s">
        <v>226</v>
      </c>
      <c r="N98" s="174" t="s">
        <v>122</v>
      </c>
      <c r="O98" s="175" t="s">
        <v>209</v>
      </c>
      <c r="P98" s="180" t="s">
        <v>227</v>
      </c>
      <c r="Q98" s="177" t="s">
        <v>197</v>
      </c>
      <c r="R98" s="177" t="s">
        <v>197</v>
      </c>
      <c r="S98" s="181">
        <v>14.3</v>
      </c>
      <c r="T98" s="177" t="s">
        <v>197</v>
      </c>
      <c r="U98" s="178">
        <v>30</v>
      </c>
      <c r="V98" s="178">
        <v>5</v>
      </c>
      <c r="W98" s="173" t="s">
        <v>223</v>
      </c>
      <c r="X98" s="173" t="s">
        <v>166</v>
      </c>
      <c r="Y98" s="178">
        <v>25</v>
      </c>
      <c r="Z98" s="178">
        <v>3</v>
      </c>
      <c r="AA98" s="173" t="s">
        <v>223</v>
      </c>
      <c r="AB98" s="174" t="s">
        <v>304</v>
      </c>
      <c r="AC98" s="105" t="s">
        <v>302</v>
      </c>
    </row>
    <row r="99" spans="12:29" x14ac:dyDescent="0.3">
      <c r="L99" s="135"/>
      <c r="M99" s="173" t="s">
        <v>228</v>
      </c>
      <c r="N99" s="174" t="s">
        <v>122</v>
      </c>
      <c r="O99" s="175" t="s">
        <v>195</v>
      </c>
      <c r="P99" s="180" t="s">
        <v>229</v>
      </c>
      <c r="Q99" s="177" t="s">
        <v>197</v>
      </c>
      <c r="R99" s="181">
        <v>9.6999999999999993</v>
      </c>
      <c r="S99" s="181">
        <v>13.6</v>
      </c>
      <c r="T99" s="177" t="s">
        <v>197</v>
      </c>
      <c r="U99" s="178">
        <v>30</v>
      </c>
      <c r="V99" s="178">
        <v>5</v>
      </c>
      <c r="W99" s="173" t="s">
        <v>223</v>
      </c>
      <c r="X99" s="173" t="s">
        <v>166</v>
      </c>
      <c r="Y99" s="178">
        <v>25</v>
      </c>
      <c r="Z99" s="178">
        <v>3</v>
      </c>
      <c r="AA99" s="173" t="s">
        <v>223</v>
      </c>
      <c r="AB99" s="174" t="s">
        <v>305</v>
      </c>
      <c r="AC99" s="105" t="s">
        <v>302</v>
      </c>
    </row>
    <row r="100" spans="12:29" x14ac:dyDescent="0.3">
      <c r="L100" s="135"/>
      <c r="M100" s="173" t="s">
        <v>228</v>
      </c>
      <c r="N100" s="174" t="s">
        <v>122</v>
      </c>
      <c r="O100" s="175" t="s">
        <v>209</v>
      </c>
      <c r="P100" s="180" t="s">
        <v>229</v>
      </c>
      <c r="Q100" s="177" t="s">
        <v>197</v>
      </c>
      <c r="R100" s="181">
        <v>9.6999999999999993</v>
      </c>
      <c r="S100" s="181">
        <v>13.6</v>
      </c>
      <c r="T100" s="177" t="s">
        <v>197</v>
      </c>
      <c r="U100" s="178">
        <v>30</v>
      </c>
      <c r="V100" s="178">
        <v>5</v>
      </c>
      <c r="W100" s="173" t="s">
        <v>223</v>
      </c>
      <c r="X100" s="173" t="s">
        <v>166</v>
      </c>
      <c r="Y100" s="178">
        <v>25</v>
      </c>
      <c r="Z100" s="178">
        <v>3</v>
      </c>
      <c r="AA100" s="173" t="s">
        <v>223</v>
      </c>
      <c r="AB100" s="174" t="s">
        <v>305</v>
      </c>
      <c r="AC100" s="105" t="s">
        <v>302</v>
      </c>
    </row>
    <row r="101" spans="12:29" x14ac:dyDescent="0.3">
      <c r="L101" s="135"/>
      <c r="M101" s="173" t="s">
        <v>230</v>
      </c>
      <c r="N101" s="174" t="s">
        <v>122</v>
      </c>
      <c r="O101" s="174" t="s">
        <v>231</v>
      </c>
      <c r="P101" s="143" t="s">
        <v>232</v>
      </c>
      <c r="Q101" s="177" t="s">
        <v>197</v>
      </c>
      <c r="R101" s="179">
        <v>11.5</v>
      </c>
      <c r="S101" s="177" t="s">
        <v>197</v>
      </c>
      <c r="T101" s="177" t="s">
        <v>197</v>
      </c>
      <c r="U101" s="178">
        <v>25</v>
      </c>
      <c r="V101" s="178">
        <v>5</v>
      </c>
      <c r="W101" s="173" t="s">
        <v>223</v>
      </c>
      <c r="X101" s="173" t="s">
        <v>179</v>
      </c>
      <c r="Y101" s="178">
        <v>0</v>
      </c>
      <c r="Z101" s="178">
        <v>0</v>
      </c>
      <c r="AA101" s="173" t="s">
        <v>223</v>
      </c>
      <c r="AB101" s="174" t="s">
        <v>233</v>
      </c>
      <c r="AC101" s="105" t="s">
        <v>306</v>
      </c>
    </row>
    <row r="102" spans="12:29" x14ac:dyDescent="0.3">
      <c r="L102" s="135"/>
      <c r="M102" s="173" t="s">
        <v>234</v>
      </c>
      <c r="N102" s="174" t="s">
        <v>122</v>
      </c>
      <c r="O102" s="183" t="s">
        <v>235</v>
      </c>
      <c r="P102" s="180" t="s">
        <v>222</v>
      </c>
      <c r="Q102" s="177" t="s">
        <v>197</v>
      </c>
      <c r="R102" s="177" t="s">
        <v>197</v>
      </c>
      <c r="S102" s="181">
        <v>15.1</v>
      </c>
      <c r="T102" s="177" t="s">
        <v>197</v>
      </c>
      <c r="U102" s="178">
        <v>40</v>
      </c>
      <c r="V102" s="178">
        <v>5</v>
      </c>
      <c r="W102" s="173" t="s">
        <v>223</v>
      </c>
      <c r="X102" s="173" t="s">
        <v>236</v>
      </c>
      <c r="Y102" s="178">
        <v>25</v>
      </c>
      <c r="Z102" s="178">
        <v>3</v>
      </c>
      <c r="AA102" s="173" t="s">
        <v>223</v>
      </c>
      <c r="AB102" s="174" t="s">
        <v>237</v>
      </c>
      <c r="AC102" s="105" t="s">
        <v>306</v>
      </c>
    </row>
    <row r="103" spans="12:29" x14ac:dyDescent="0.3">
      <c r="L103" s="135"/>
      <c r="M103" s="173" t="s">
        <v>234</v>
      </c>
      <c r="N103" s="174" t="s">
        <v>122</v>
      </c>
      <c r="O103" s="183" t="s">
        <v>238</v>
      </c>
      <c r="P103" s="180" t="s">
        <v>222</v>
      </c>
      <c r="Q103" s="177" t="s">
        <v>197</v>
      </c>
      <c r="R103" s="177" t="s">
        <v>197</v>
      </c>
      <c r="S103" s="181">
        <v>15.1</v>
      </c>
      <c r="T103" s="177" t="s">
        <v>197</v>
      </c>
      <c r="U103" s="178">
        <v>40</v>
      </c>
      <c r="V103" s="178">
        <v>5</v>
      </c>
      <c r="W103" s="173" t="s">
        <v>223</v>
      </c>
      <c r="X103" s="173" t="s">
        <v>236</v>
      </c>
      <c r="Y103" s="178">
        <v>25</v>
      </c>
      <c r="Z103" s="178">
        <v>3</v>
      </c>
      <c r="AA103" s="173" t="s">
        <v>223</v>
      </c>
      <c r="AB103" s="174" t="s">
        <v>237</v>
      </c>
      <c r="AC103" s="105" t="s">
        <v>306</v>
      </c>
    </row>
    <row r="104" spans="12:29" x14ac:dyDescent="0.3">
      <c r="L104" s="135"/>
      <c r="M104" s="173" t="s">
        <v>239</v>
      </c>
      <c r="N104" s="174" t="s">
        <v>122</v>
      </c>
      <c r="O104" s="183" t="s">
        <v>235</v>
      </c>
      <c r="P104" s="180" t="s">
        <v>225</v>
      </c>
      <c r="Q104" s="177" t="s">
        <v>197</v>
      </c>
      <c r="R104" s="177" t="s">
        <v>197</v>
      </c>
      <c r="S104" s="181">
        <v>14.5</v>
      </c>
      <c r="T104" s="177" t="s">
        <v>197</v>
      </c>
      <c r="U104" s="178">
        <v>40</v>
      </c>
      <c r="V104" s="178">
        <v>5</v>
      </c>
      <c r="W104" s="173" t="s">
        <v>223</v>
      </c>
      <c r="X104" s="173" t="s">
        <v>236</v>
      </c>
      <c r="Y104" s="178">
        <v>25</v>
      </c>
      <c r="Z104" s="178">
        <v>3</v>
      </c>
      <c r="AA104" s="173" t="s">
        <v>223</v>
      </c>
      <c r="AB104" s="174" t="s">
        <v>240</v>
      </c>
      <c r="AC104" s="105" t="s">
        <v>306</v>
      </c>
    </row>
    <row r="105" spans="12:29" x14ac:dyDescent="0.3">
      <c r="L105" s="135"/>
      <c r="M105" s="173" t="s">
        <v>239</v>
      </c>
      <c r="N105" s="174" t="s">
        <v>122</v>
      </c>
      <c r="O105" s="183" t="s">
        <v>238</v>
      </c>
      <c r="P105" s="180" t="s">
        <v>225</v>
      </c>
      <c r="Q105" s="177" t="s">
        <v>197</v>
      </c>
      <c r="R105" s="177" t="s">
        <v>197</v>
      </c>
      <c r="S105" s="181">
        <v>14.5</v>
      </c>
      <c r="T105" s="177" t="s">
        <v>197</v>
      </c>
      <c r="U105" s="178">
        <v>40</v>
      </c>
      <c r="V105" s="178">
        <v>5</v>
      </c>
      <c r="W105" s="173" t="s">
        <v>223</v>
      </c>
      <c r="X105" s="173" t="s">
        <v>236</v>
      </c>
      <c r="Y105" s="178">
        <v>25</v>
      </c>
      <c r="Z105" s="178">
        <v>3</v>
      </c>
      <c r="AA105" s="173" t="s">
        <v>223</v>
      </c>
      <c r="AB105" s="174" t="s">
        <v>240</v>
      </c>
      <c r="AC105" s="105" t="s">
        <v>306</v>
      </c>
    </row>
    <row r="106" spans="12:29" x14ac:dyDescent="0.3">
      <c r="L106" s="135"/>
      <c r="M106" s="173" t="s">
        <v>241</v>
      </c>
      <c r="N106" s="174" t="s">
        <v>122</v>
      </c>
      <c r="O106" s="183" t="s">
        <v>235</v>
      </c>
      <c r="P106" s="180" t="s">
        <v>227</v>
      </c>
      <c r="Q106" s="177" t="s">
        <v>197</v>
      </c>
      <c r="R106" s="177" t="s">
        <v>197</v>
      </c>
      <c r="S106" s="181">
        <v>13.5</v>
      </c>
      <c r="T106" s="177" t="s">
        <v>197</v>
      </c>
      <c r="U106" s="178">
        <v>40</v>
      </c>
      <c r="V106" s="178">
        <v>5</v>
      </c>
      <c r="W106" s="173" t="s">
        <v>223</v>
      </c>
      <c r="X106" s="173" t="s">
        <v>236</v>
      </c>
      <c r="Y106" s="178">
        <v>25</v>
      </c>
      <c r="Z106" s="178">
        <v>3</v>
      </c>
      <c r="AA106" s="173" t="s">
        <v>223</v>
      </c>
      <c r="AB106" s="174" t="s">
        <v>242</v>
      </c>
      <c r="AC106" s="105" t="s">
        <v>306</v>
      </c>
    </row>
    <row r="107" spans="12:29" x14ac:dyDescent="0.3">
      <c r="M107" s="173" t="s">
        <v>241</v>
      </c>
      <c r="N107" s="174" t="s">
        <v>122</v>
      </c>
      <c r="O107" s="183" t="s">
        <v>238</v>
      </c>
      <c r="P107" s="143" t="s">
        <v>227</v>
      </c>
      <c r="Q107" s="177" t="s">
        <v>197</v>
      </c>
      <c r="R107" s="177" t="s">
        <v>197</v>
      </c>
      <c r="S107" s="179">
        <v>13.5</v>
      </c>
      <c r="T107" s="177" t="s">
        <v>197</v>
      </c>
      <c r="U107" s="178">
        <v>40</v>
      </c>
      <c r="V107" s="178">
        <v>5</v>
      </c>
      <c r="W107" s="173" t="s">
        <v>223</v>
      </c>
      <c r="X107" s="173" t="s">
        <v>236</v>
      </c>
      <c r="Y107" s="178">
        <v>25</v>
      </c>
      <c r="Z107" s="178">
        <v>3</v>
      </c>
      <c r="AA107" s="173" t="s">
        <v>223</v>
      </c>
      <c r="AB107" s="174" t="s">
        <v>242</v>
      </c>
      <c r="AC107" s="105" t="s">
        <v>306</v>
      </c>
    </row>
    <row r="109" spans="12:29" x14ac:dyDescent="0.3">
      <c r="M109" s="109" t="s">
        <v>120</v>
      </c>
    </row>
    <row r="110" spans="12:29" x14ac:dyDescent="0.3">
      <c r="M110" s="105" t="s">
        <v>123</v>
      </c>
    </row>
    <row r="111" spans="12:29" x14ac:dyDescent="0.3">
      <c r="M111" s="105" t="s">
        <v>128</v>
      </c>
    </row>
    <row r="113" spans="13:29" x14ac:dyDescent="0.3">
      <c r="M113" s="109" t="s">
        <v>118</v>
      </c>
      <c r="O113" s="109" t="s">
        <v>307</v>
      </c>
    </row>
    <row r="114" spans="13:29" x14ac:dyDescent="0.3">
      <c r="M114" s="105" t="s">
        <v>122</v>
      </c>
      <c r="O114" s="105" t="s">
        <v>195</v>
      </c>
      <c r="P114" s="105" t="s">
        <v>189</v>
      </c>
    </row>
    <row r="115" spans="13:29" x14ac:dyDescent="0.3">
      <c r="M115" s="105" t="s">
        <v>194</v>
      </c>
      <c r="O115" s="105" t="s">
        <v>209</v>
      </c>
      <c r="P115" s="105" t="s">
        <v>189</v>
      </c>
    </row>
    <row r="116" spans="13:29" x14ac:dyDescent="0.3">
      <c r="O116" s="105" t="s">
        <v>231</v>
      </c>
      <c r="P116" s="105" t="s">
        <v>24</v>
      </c>
    </row>
    <row r="117" spans="13:29" x14ac:dyDescent="0.3">
      <c r="O117" s="105" t="s">
        <v>235</v>
      </c>
      <c r="P117" s="105" t="s">
        <v>189</v>
      </c>
    </row>
    <row r="118" spans="13:29" x14ac:dyDescent="0.3">
      <c r="O118" s="105" t="s">
        <v>238</v>
      </c>
      <c r="P118" s="105" t="s">
        <v>189</v>
      </c>
    </row>
    <row r="119" spans="13:29" x14ac:dyDescent="0.3">
      <c r="M119" s="109" t="s">
        <v>243</v>
      </c>
      <c r="P119" s="294" t="s">
        <v>244</v>
      </c>
      <c r="Q119" s="294"/>
      <c r="R119" s="294"/>
      <c r="S119" s="294"/>
      <c r="T119" s="294" t="s">
        <v>245</v>
      </c>
      <c r="U119" s="294"/>
      <c r="V119" s="294"/>
      <c r="W119" s="294"/>
    </row>
    <row r="120" spans="13:29" x14ac:dyDescent="0.3">
      <c r="M120" s="110" t="s">
        <v>99</v>
      </c>
      <c r="O120" s="182" t="s">
        <v>100</v>
      </c>
      <c r="P120" s="295" t="s">
        <v>246</v>
      </c>
      <c r="Q120" s="295"/>
      <c r="R120" s="295" t="s">
        <v>247</v>
      </c>
      <c r="S120" s="295"/>
      <c r="T120" s="295" t="s">
        <v>246</v>
      </c>
      <c r="U120" s="295"/>
      <c r="V120" s="295" t="s">
        <v>247</v>
      </c>
      <c r="W120" s="295"/>
    </row>
    <row r="121" spans="13:29" x14ac:dyDescent="0.3">
      <c r="M121" s="110" t="s">
        <v>109</v>
      </c>
      <c r="O121" s="183" t="s">
        <v>12</v>
      </c>
      <c r="P121" s="184" t="e">
        <f>12/$C$17</f>
        <v>#DIV/0!</v>
      </c>
      <c r="Q121" s="183" t="str">
        <f>IFERROR(VLOOKUP(1,$Q$101:$W$112,3,FALSE),"EER")</f>
        <v>EER</v>
      </c>
      <c r="R121" s="184" t="e">
        <f>12/$C$17/3.412</f>
        <v>#DIV/0!</v>
      </c>
      <c r="S121" s="183" t="s">
        <v>112</v>
      </c>
      <c r="T121" s="184" t="e">
        <f>12/$C$18</f>
        <v>#DIV/0!</v>
      </c>
      <c r="U121" s="183" t="str">
        <f>Q121</f>
        <v>EER</v>
      </c>
      <c r="V121" s="184" t="e">
        <f>12/$C$18/3.412</f>
        <v>#DIV/0!</v>
      </c>
      <c r="W121" s="183" t="str">
        <f>S121</f>
        <v>COP</v>
      </c>
    </row>
    <row r="122" spans="13:29" x14ac:dyDescent="0.3">
      <c r="M122" s="110" t="s">
        <v>110</v>
      </c>
      <c r="O122" s="183" t="s">
        <v>24</v>
      </c>
      <c r="P122" s="184" t="e">
        <f>12/$C$17</f>
        <v>#DIV/0!</v>
      </c>
      <c r="Q122" s="183" t="s">
        <v>12</v>
      </c>
      <c r="R122" s="184">
        <f>$C$17/3.412</f>
        <v>0</v>
      </c>
      <c r="S122" s="183" t="s">
        <v>112</v>
      </c>
      <c r="T122" s="184" t="e">
        <f>12/$C$18</f>
        <v>#DIV/0!</v>
      </c>
      <c r="U122" s="183" t="str">
        <f t="shared" ref="U122:U123" si="0">Q122</f>
        <v>kW/Ton</v>
      </c>
      <c r="V122" s="184">
        <f>$C$18/3.412</f>
        <v>0</v>
      </c>
      <c r="W122" s="183" t="str">
        <f t="shared" ref="W122" si="1">S122</f>
        <v>COP</v>
      </c>
    </row>
    <row r="123" spans="13:29" x14ac:dyDescent="0.3">
      <c r="M123" s="110" t="s">
        <v>111</v>
      </c>
      <c r="O123" s="183" t="s">
        <v>112</v>
      </c>
      <c r="P123" s="184" t="e">
        <f>12/($C$17*3.412)</f>
        <v>#DIV/0!</v>
      </c>
      <c r="Q123" s="183" t="s">
        <v>12</v>
      </c>
      <c r="R123" s="184">
        <f>$C$17*3.412</f>
        <v>0</v>
      </c>
      <c r="S123" s="183" t="str">
        <f>IFERROR(VLOOKUP(1,$Q$101:$W$112,3,FALSE),"EER")</f>
        <v>EER</v>
      </c>
      <c r="T123" s="184" t="e">
        <f>12/($C$18*3.412)</f>
        <v>#DIV/0!</v>
      </c>
      <c r="U123" s="183" t="str">
        <f t="shared" si="0"/>
        <v>kW/Ton</v>
      </c>
      <c r="V123" s="184">
        <f>$C$18*3.412</f>
        <v>0</v>
      </c>
      <c r="W123" s="183" t="str">
        <f>S123</f>
        <v>EER</v>
      </c>
    </row>
    <row r="124" spans="13:29" x14ac:dyDescent="0.3">
      <c r="M124" s="110" t="s">
        <v>113</v>
      </c>
      <c r="O124" s="183" t="s">
        <v>188</v>
      </c>
      <c r="P124" s="184" t="e">
        <f>12/$C$17</f>
        <v>#DIV/0!</v>
      </c>
      <c r="Q124" s="183" t="s">
        <v>12</v>
      </c>
      <c r="R124" s="184">
        <f>$C$17/3.412</f>
        <v>0</v>
      </c>
      <c r="S124" s="183" t="s">
        <v>112</v>
      </c>
      <c r="T124" s="184" t="e">
        <f>12/$C$18</f>
        <v>#DIV/0!</v>
      </c>
      <c r="U124" s="183" t="str">
        <f t="shared" ref="U124" si="2">Q124</f>
        <v>kW/Ton</v>
      </c>
      <c r="V124" s="184">
        <f>$C$18/3.412</f>
        <v>0</v>
      </c>
      <c r="W124" s="183" t="str">
        <f t="shared" ref="W124" si="3">S124</f>
        <v>COP</v>
      </c>
    </row>
    <row r="125" spans="13:29" x14ac:dyDescent="0.3">
      <c r="M125" s="110" t="s">
        <v>114</v>
      </c>
    </row>
    <row r="127" spans="13:29" x14ac:dyDescent="0.3">
      <c r="M127" s="109" t="s">
        <v>248</v>
      </c>
      <c r="N127" s="105"/>
    </row>
    <row r="128" spans="13:29" x14ac:dyDescent="0.3">
      <c r="M128" s="110" t="s">
        <v>249</v>
      </c>
      <c r="O128" s="185" t="s">
        <v>250</v>
      </c>
      <c r="P128" s="186" t="s">
        <v>251</v>
      </c>
      <c r="V128" s="186" t="s">
        <v>252</v>
      </c>
      <c r="AA128" s="186" t="s">
        <v>253</v>
      </c>
      <c r="AC128" s="186"/>
    </row>
    <row r="129" spans="13:27" x14ac:dyDescent="0.3">
      <c r="M129" s="110"/>
      <c r="O129" s="105" t="s">
        <v>195</v>
      </c>
      <c r="P129" s="105" t="s">
        <v>195</v>
      </c>
      <c r="V129" s="105" t="s">
        <v>195</v>
      </c>
      <c r="AA129" s="105" t="s">
        <v>195</v>
      </c>
    </row>
    <row r="130" spans="13:27" x14ac:dyDescent="0.3">
      <c r="M130" s="110"/>
      <c r="O130" s="105" t="s">
        <v>209</v>
      </c>
      <c r="P130" s="105" t="s">
        <v>209</v>
      </c>
      <c r="V130" s="105" t="s">
        <v>209</v>
      </c>
      <c r="AA130" s="105" t="s">
        <v>209</v>
      </c>
    </row>
    <row r="131" spans="13:27" x14ac:dyDescent="0.3">
      <c r="M131" s="110"/>
      <c r="N131" s="105"/>
      <c r="P131" s="105" t="s">
        <v>211</v>
      </c>
      <c r="V131" s="105" t="s">
        <v>235</v>
      </c>
      <c r="AA131" s="105" t="s">
        <v>235</v>
      </c>
    </row>
    <row r="132" spans="13:27" x14ac:dyDescent="0.3">
      <c r="M132" s="110"/>
      <c r="N132" s="149"/>
      <c r="V132" s="105" t="s">
        <v>238</v>
      </c>
      <c r="AA132" s="105" t="s">
        <v>238</v>
      </c>
    </row>
    <row r="133" spans="13:27" x14ac:dyDescent="0.3">
      <c r="M133" s="110"/>
      <c r="N133" s="149"/>
      <c r="AA133" s="105" t="s">
        <v>231</v>
      </c>
    </row>
    <row r="134" spans="13:27" x14ac:dyDescent="0.3">
      <c r="M134" s="110"/>
      <c r="N134" s="149"/>
    </row>
    <row r="135" spans="13:27" x14ac:dyDescent="0.3">
      <c r="M135" s="170" t="s">
        <v>314</v>
      </c>
    </row>
    <row r="136" spans="13:27" x14ac:dyDescent="0.3">
      <c r="M136" s="110" t="s">
        <v>311</v>
      </c>
    </row>
    <row r="137" spans="13:27" x14ac:dyDescent="0.3">
      <c r="M137" s="110" t="s">
        <v>312</v>
      </c>
    </row>
    <row r="138" spans="13:27" x14ac:dyDescent="0.3">
      <c r="M138" s="110" t="s">
        <v>313</v>
      </c>
    </row>
    <row r="140" spans="13:27" x14ac:dyDescent="0.3">
      <c r="M140" s="109" t="s">
        <v>254</v>
      </c>
    </row>
    <row r="141" spans="13:27" x14ac:dyDescent="0.3">
      <c r="M141" s="105" t="s">
        <v>255</v>
      </c>
    </row>
    <row r="142" spans="13:27" x14ac:dyDescent="0.3">
      <c r="M142" s="105" t="s">
        <v>290</v>
      </c>
    </row>
    <row r="143" spans="13:27" x14ac:dyDescent="0.3">
      <c r="N143" s="105"/>
    </row>
    <row r="144" spans="13:27" x14ac:dyDescent="0.3">
      <c r="N144" s="105"/>
    </row>
    <row r="145" spans="14:14" x14ac:dyDescent="0.3">
      <c r="N145" s="105"/>
    </row>
    <row r="146" spans="14:14" x14ac:dyDescent="0.3">
      <c r="N146" s="105"/>
    </row>
    <row r="147" spans="14:14" x14ac:dyDescent="0.3">
      <c r="N147" s="105"/>
    </row>
    <row r="148" spans="14:14" x14ac:dyDescent="0.3">
      <c r="N148" s="105"/>
    </row>
    <row r="149" spans="14:14" x14ac:dyDescent="0.3">
      <c r="N149" s="105"/>
    </row>
    <row r="150" spans="14:14" x14ac:dyDescent="0.3">
      <c r="N150" s="105"/>
    </row>
    <row r="151" spans="14:14" x14ac:dyDescent="0.3">
      <c r="N151" s="105"/>
    </row>
    <row r="152" spans="14:14" x14ac:dyDescent="0.3">
      <c r="N152" s="105"/>
    </row>
    <row r="153" spans="14:14" x14ac:dyDescent="0.3">
      <c r="N153" s="105"/>
    </row>
    <row r="154" spans="14:14" x14ac:dyDescent="0.3">
      <c r="N154" s="105"/>
    </row>
    <row r="155" spans="14:14" x14ac:dyDescent="0.3">
      <c r="N155" s="105"/>
    </row>
    <row r="156" spans="14:14" x14ac:dyDescent="0.3">
      <c r="N156" s="105"/>
    </row>
    <row r="157" spans="14:14" x14ac:dyDescent="0.3">
      <c r="N157" s="105"/>
    </row>
    <row r="158" spans="14:14" x14ac:dyDescent="0.3">
      <c r="N158" s="105"/>
    </row>
    <row r="159" spans="14:14" ht="15.75" customHeight="1" x14ac:dyDescent="0.3">
      <c r="N159" s="105"/>
    </row>
    <row r="160" spans="14:14" x14ac:dyDescent="0.3">
      <c r="N160" s="105"/>
    </row>
    <row r="161" spans="14:14" x14ac:dyDescent="0.3">
      <c r="N161" s="105"/>
    </row>
    <row r="162" spans="14:14" x14ac:dyDescent="0.3">
      <c r="N162" s="105"/>
    </row>
    <row r="163" spans="14:14" x14ac:dyDescent="0.3">
      <c r="N163" s="105"/>
    </row>
    <row r="164" spans="14:14" x14ac:dyDescent="0.3">
      <c r="N164" s="105"/>
    </row>
    <row r="165" spans="14:14" x14ac:dyDescent="0.3">
      <c r="N165" s="105"/>
    </row>
    <row r="166" spans="14:14" x14ac:dyDescent="0.3">
      <c r="N166" s="105"/>
    </row>
    <row r="167" spans="14:14" x14ac:dyDescent="0.3">
      <c r="N167" s="105"/>
    </row>
    <row r="168" spans="14:14" x14ac:dyDescent="0.3">
      <c r="N168" s="105"/>
    </row>
    <row r="169" spans="14:14" x14ac:dyDescent="0.3">
      <c r="N169" s="105"/>
    </row>
    <row r="170" spans="14:14" x14ac:dyDescent="0.3">
      <c r="N170" s="105"/>
    </row>
    <row r="171" spans="14:14" x14ac:dyDescent="0.3">
      <c r="N171" s="105"/>
    </row>
    <row r="172" spans="14:14" x14ac:dyDescent="0.3">
      <c r="N172" s="105"/>
    </row>
    <row r="173" spans="14:14" x14ac:dyDescent="0.3">
      <c r="N173" s="105"/>
    </row>
    <row r="174" spans="14:14" x14ac:dyDescent="0.3">
      <c r="N174" s="105"/>
    </row>
    <row r="175" spans="14:14" x14ac:dyDescent="0.3">
      <c r="N175" s="105"/>
    </row>
    <row r="176" spans="14:14" x14ac:dyDescent="0.3">
      <c r="N176" s="105"/>
    </row>
    <row r="177" spans="14:14" x14ac:dyDescent="0.3">
      <c r="N177" s="105"/>
    </row>
    <row r="178" spans="14:14" x14ac:dyDescent="0.3">
      <c r="N178" s="105"/>
    </row>
    <row r="179" spans="14:14" x14ac:dyDescent="0.3">
      <c r="N179" s="105"/>
    </row>
    <row r="180" spans="14:14" x14ac:dyDescent="0.3">
      <c r="N180" s="105"/>
    </row>
    <row r="181" spans="14:14" x14ac:dyDescent="0.3">
      <c r="N181" s="105"/>
    </row>
    <row r="182" spans="14:14" x14ac:dyDescent="0.3">
      <c r="N182" s="105"/>
    </row>
    <row r="183" spans="14:14" x14ac:dyDescent="0.3">
      <c r="N183" s="105"/>
    </row>
    <row r="184" spans="14:14" x14ac:dyDescent="0.3">
      <c r="N184" s="105"/>
    </row>
    <row r="185" spans="14:14" x14ac:dyDescent="0.3">
      <c r="N185" s="105"/>
    </row>
    <row r="186" spans="14:14" x14ac:dyDescent="0.3">
      <c r="N186" s="105"/>
    </row>
  </sheetData>
  <sheetProtection algorithmName="SHA-512" hashValue="1szAERsR0AO8xuZTjIM5iRqZUVNVlLk4ir85r9chPrgp4RaHKpqYirY2+lJS/lJpV5RhJHkj06tPH2l8BYGnog==" saltValue="K3FCRMj6CUY4O78pryzgFg==" spinCount="100000" sheet="1" formatCells="0"/>
  <mergeCells count="27">
    <mergeCell ref="Y66:AA66"/>
    <mergeCell ref="A4:I4"/>
    <mergeCell ref="T119:W119"/>
    <mergeCell ref="T120:U120"/>
    <mergeCell ref="V120:W120"/>
    <mergeCell ref="A5:H5"/>
    <mergeCell ref="A6:I6"/>
    <mergeCell ref="A23:I23"/>
    <mergeCell ref="P120:Q120"/>
    <mergeCell ref="P119:S119"/>
    <mergeCell ref="R120:S120"/>
    <mergeCell ref="B46:H46"/>
    <mergeCell ref="B62:H62"/>
    <mergeCell ref="Q66:T66"/>
    <mergeCell ref="U66:W66"/>
    <mergeCell ref="E33:I39"/>
    <mergeCell ref="D40:I40"/>
    <mergeCell ref="B54:H54"/>
    <mergeCell ref="A55:C55"/>
    <mergeCell ref="D55:F55"/>
    <mergeCell ref="G55:I55"/>
    <mergeCell ref="A56:C56"/>
    <mergeCell ref="D56:F56"/>
    <mergeCell ref="G56:I56"/>
    <mergeCell ref="A57:C57"/>
    <mergeCell ref="D57:F57"/>
    <mergeCell ref="G57:I57"/>
  </mergeCells>
  <phoneticPr fontId="8" type="noConversion"/>
  <conditionalFormatting sqref="A44">
    <cfRule type="expression" dxfId="43" priority="2">
      <formula>$A$44=$M$141</formula>
    </cfRule>
  </conditionalFormatting>
  <conditionalFormatting sqref="A52">
    <cfRule type="expression" dxfId="42" priority="394">
      <formula>$A$52=$M$141</formula>
    </cfRule>
  </conditionalFormatting>
  <conditionalFormatting sqref="A55">
    <cfRule type="expression" dxfId="41" priority="15">
      <formula>IF($J$45="Multiple",TRUE,FALSE)</formula>
    </cfRule>
  </conditionalFormatting>
  <conditionalFormatting sqref="A57">
    <cfRule type="expression" dxfId="40" priority="11">
      <formula>$A$52=$M$141</formula>
    </cfRule>
    <cfRule type="expression" dxfId="39" priority="10">
      <formula>IF($J$45="Multiple",TRUE,FALSE)</formula>
    </cfRule>
    <cfRule type="expression" dxfId="38" priority="12">
      <formula>IF($J$45="Multiple",TRUE,FALSE)</formula>
    </cfRule>
  </conditionalFormatting>
  <conditionalFormatting sqref="A60">
    <cfRule type="expression" dxfId="37" priority="393">
      <formula>$A$60=$M$141</formula>
    </cfRule>
  </conditionalFormatting>
  <conditionalFormatting sqref="A54:B54 I54">
    <cfRule type="expression" dxfId="36" priority="17">
      <formula>IF($J$45="Multiple",TRUE,FALSE)</formula>
    </cfRule>
  </conditionalFormatting>
  <conditionalFormatting sqref="A62:B62">
    <cfRule type="expression" dxfId="35" priority="32">
      <formula>IF($J$45="Multiple",TRUE,FALSE)</formula>
    </cfRule>
  </conditionalFormatting>
  <conditionalFormatting sqref="A45:H45">
    <cfRule type="expression" dxfId="34" priority="82">
      <formula>IF($J$45="Multiple",TRUE,FALSE)</formula>
    </cfRule>
  </conditionalFormatting>
  <conditionalFormatting sqref="A53:H53">
    <cfRule type="expression" dxfId="33" priority="18">
      <formula>IF($J$45="Multiple",TRUE,FALSE)</formula>
    </cfRule>
  </conditionalFormatting>
  <conditionalFormatting sqref="A61:H61">
    <cfRule type="expression" dxfId="32" priority="34">
      <formula>IF($J$45="Multiple",TRUE,FALSE)</formula>
    </cfRule>
  </conditionalFormatting>
  <conditionalFormatting sqref="A49:I49 A46:B46 I46 A47:I47 I62 A63:I63">
    <cfRule type="expression" dxfId="31" priority="78">
      <formula>IF($J$45="Multiple",TRUE,FALSE)</formula>
    </cfRule>
  </conditionalFormatting>
  <conditionalFormatting sqref="A49:I49">
    <cfRule type="expression" dxfId="30" priority="3">
      <formula>$I$45=$M$101</formula>
    </cfRule>
    <cfRule type="expression" dxfId="29" priority="392">
      <formula>IF($J$45="Multiple",TRUE,FALSE)</formula>
    </cfRule>
    <cfRule type="expression" dxfId="28" priority="391">
      <formula>$A$44=$M$141</formula>
    </cfRule>
  </conditionalFormatting>
  <conditionalFormatting sqref="A65:I65">
    <cfRule type="expression" dxfId="27" priority="390">
      <formula>IF($J$45="Multiple",TRUE,FALSE)</formula>
    </cfRule>
    <cfRule type="expression" dxfId="26" priority="29">
      <formula>IF($J$45="Multiple",TRUE,FALSE)</formula>
    </cfRule>
    <cfRule type="expression" dxfId="25" priority="1">
      <formula>$C$9=$M$111</formula>
    </cfRule>
    <cfRule type="expression" dxfId="24" priority="389">
      <formula>$A$60=$M$141</formula>
    </cfRule>
  </conditionalFormatting>
  <conditionalFormatting sqref="B18 B28">
    <cfRule type="expression" dxfId="23" priority="21">
      <formula>$C$28="N/A"</formula>
    </cfRule>
  </conditionalFormatting>
  <conditionalFormatting sqref="B19">
    <cfRule type="expression" dxfId="22" priority="326">
      <formula>$C$12&lt;&gt;P131</formula>
    </cfRule>
  </conditionalFormatting>
  <conditionalFormatting sqref="B26">
    <cfRule type="expression" dxfId="21" priority="307">
      <formula>$D$11&gt;5.42</formula>
    </cfRule>
  </conditionalFormatting>
  <conditionalFormatting sqref="B27">
    <cfRule type="expression" dxfId="20" priority="305">
      <formula>$D$11&lt;=5.42</formula>
    </cfRule>
  </conditionalFormatting>
  <conditionalFormatting sqref="B29">
    <cfRule type="expression" dxfId="19" priority="385">
      <formula>$C$12&lt;&gt;$P$131</formula>
    </cfRule>
    <cfRule type="expression" dxfId="18" priority="386">
      <formula>$C$12&lt;&gt;#REF!</formula>
    </cfRule>
  </conditionalFormatting>
  <conditionalFormatting sqref="B36:B37">
    <cfRule type="expression" dxfId="17" priority="198">
      <formula>$D$33&lt;&gt;"ton"</formula>
    </cfRule>
  </conditionalFormatting>
  <conditionalFormatting sqref="C16">
    <cfRule type="expression" dxfId="16" priority="64">
      <formula>IF($C$28="N/A",TRUE,FALSE)</formula>
    </cfRule>
  </conditionalFormatting>
  <conditionalFormatting sqref="C18 F18:I18 C28:D28">
    <cfRule type="expression" dxfId="15" priority="62">
      <formula>IF($C$28="N/A",TRUE,FALSE)</formula>
    </cfRule>
  </conditionalFormatting>
  <conditionalFormatting sqref="C31">
    <cfRule type="expression" dxfId="14" priority="35">
      <formula>$C$31="NO"</formula>
    </cfRule>
  </conditionalFormatting>
  <conditionalFormatting sqref="C36:C37">
    <cfRule type="expression" dxfId="13" priority="20">
      <formula>$D$33&lt;&gt;"ton"</formula>
    </cfRule>
  </conditionalFormatting>
  <conditionalFormatting sqref="C26:D26">
    <cfRule type="expression" dxfId="12" priority="306">
      <formula>$D$11&gt;=5.42</formula>
    </cfRule>
  </conditionalFormatting>
  <conditionalFormatting sqref="C27:D27">
    <cfRule type="expression" dxfId="11" priority="304">
      <formula>$D$11&lt;5.42</formula>
    </cfRule>
  </conditionalFormatting>
  <conditionalFormatting sqref="D55">
    <cfRule type="expression" dxfId="10" priority="14">
      <formula>IF($J$45="Multiple",TRUE,FALSE)</formula>
    </cfRule>
  </conditionalFormatting>
  <conditionalFormatting sqref="D57">
    <cfRule type="expression" dxfId="9" priority="7">
      <formula>IF($J$45="Multiple",TRUE,FALSE)</formula>
    </cfRule>
    <cfRule type="expression" dxfId="8" priority="8">
      <formula>$A$52=$M$141</formula>
    </cfRule>
    <cfRule type="expression" dxfId="7" priority="9">
      <formula>IF($J$45="Multiple",TRUE,FALSE)</formula>
    </cfRule>
  </conditionalFormatting>
  <conditionalFormatting sqref="E26:E29">
    <cfRule type="containsText" dxfId="6" priority="23" operator="containsText" text="Must select a chiller type first!">
      <formula>NOT(ISERROR(SEARCH("Must select a chiller type first!",E26)))</formula>
    </cfRule>
    <cfRule type="containsText" dxfId="5" priority="24" operator="containsText" text="Does Not Qualify">
      <formula>NOT(ISERROR(SEARCH("Does Not Qualify",E26)))</formula>
    </cfRule>
  </conditionalFormatting>
  <conditionalFormatting sqref="F17:I17">
    <cfRule type="expression" dxfId="4" priority="22">
      <formula>$C$15="SEER"</formula>
    </cfRule>
  </conditionalFormatting>
  <conditionalFormatting sqref="G55">
    <cfRule type="expression" dxfId="3" priority="13">
      <formula>IF($J$45="Multiple",TRUE,FALSE)</formula>
    </cfRule>
  </conditionalFormatting>
  <conditionalFormatting sqref="G57">
    <cfRule type="expression" dxfId="2" priority="4">
      <formula>IF($J$45="Multiple",TRUE,FALSE)</formula>
    </cfRule>
    <cfRule type="expression" dxfId="1" priority="5">
      <formula>$A$52=$M$141</formula>
    </cfRule>
    <cfRule type="expression" dxfId="0" priority="6">
      <formula>IF($J$45="Multiple",TRUE,FALSE)</formula>
    </cfRule>
  </conditionalFormatting>
  <dataValidations count="4">
    <dataValidation type="list" allowBlank="1" showInputMessage="1" showErrorMessage="1" sqref="C8 N68:N107" xr:uid="{75160DF0-113E-483C-94EA-1689723ADE29}">
      <formula1>$M$114:$M$115</formula1>
    </dataValidation>
    <dataValidation type="list" allowBlank="1" showInputMessage="1" showErrorMessage="1" sqref="C9" xr:uid="{10BDCCB1-EBDD-4E5D-9200-3985A917196C}">
      <formula1>$M$110:$M$111</formula1>
    </dataValidation>
    <dataValidation type="list" allowBlank="1" showInputMessage="1" showErrorMessage="1" sqref="C15" xr:uid="{1ACACDF1-C1D1-4619-9E5A-F0420C5D1AD0}">
      <formula1>IF($D$11&gt;=5.42,$O$121:$O$123,$O$124)</formula1>
    </dataValidation>
    <dataValidation type="list" allowBlank="1" showInputMessage="1" showErrorMessage="1" sqref="C12" xr:uid="{5FC9B87F-475B-462F-8207-43F9FC951F63}">
      <formula1>IF(C8=M115,O129:O130,IF(D11&lt;5.42,P129:P130,IF(D11&gt;=11.25,AA129:AA133,V129:V132)))</formula1>
    </dataValidation>
  </dataValidations>
  <pageMargins left="0.5" right="0.5" top="0.75" bottom="0.75" header="0.3" footer="0.3"/>
  <pageSetup scale="65" orientation="portrait" r:id="rId1"/>
  <ignoredErrors>
    <ignoredError sqref="C49:E49 C65:E65 B36:D36 C38 D37 H49 H65:I65 C35:D35 D38 H61" evalError="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2FEF2-5DA7-4272-A29E-DF7C1C1B6922}">
  <sheetPr>
    <tabColor rgb="FFFFFF00"/>
  </sheetPr>
  <dimension ref="A1:K3"/>
  <sheetViews>
    <sheetView workbookViewId="0">
      <selection activeCell="B1" sqref="B1"/>
    </sheetView>
  </sheetViews>
  <sheetFormatPr defaultRowHeight="14.4" x14ac:dyDescent="0.3"/>
  <cols>
    <col min="1" max="1" width="42.6640625" bestFit="1" customWidth="1"/>
    <col min="11" max="11" width="12.5546875" customWidth="1"/>
  </cols>
  <sheetData>
    <row r="1" spans="1:11" x14ac:dyDescent="0.3">
      <c r="A1" s="2" t="s">
        <v>256</v>
      </c>
      <c r="B1">
        <v>0</v>
      </c>
      <c r="D1" t="s">
        <v>257</v>
      </c>
      <c r="K1" s="3" t="s">
        <v>258</v>
      </c>
    </row>
    <row r="2" spans="1:11" x14ac:dyDescent="0.3">
      <c r="A2" s="2"/>
    </row>
    <row r="3" spans="1:11" x14ac:dyDescent="0.3">
      <c r="A3" s="2" t="s">
        <v>259</v>
      </c>
      <c r="B3">
        <v>2</v>
      </c>
      <c r="D3" t="s">
        <v>260</v>
      </c>
    </row>
  </sheetData>
  <sheetProtection algorithmName="SHA-512" hashValue="W0GYP3W/qod6ve+3M4dMwZ+a6HeqiGsVfypfarDE61SWOBfCRoIyOutFfdlLDKHazHWXEzJ1+ELCycj660QOSA==" saltValue="pjAqdBLMdkDsthPBwxUfQA==" spinCount="100000" sheet="1" objects="1" scenarios="1"/>
  <dataValidations count="2">
    <dataValidation type="list" allowBlank="1" showInputMessage="1" showErrorMessage="1" sqref="B1" xr:uid="{8ACE0C4B-FD79-4942-990C-A316C55D3FE9}">
      <formula1>"0,1,2,3"</formula1>
    </dataValidation>
    <dataValidation type="list" allowBlank="1" showInputMessage="1" showErrorMessage="1" sqref="B3" xr:uid="{218E9F71-95A9-4415-A71B-B31E816825F0}">
      <formula1>"2,3"</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00f26b1-9581-4d8d-a9fc-f582e245f9a6" xsi:nil="true"/>
    <lcf76f155ced4ddcb4097134ff3c332f xmlns="4c3655a7-e423-4417-97bb-4318289dd84a">
      <Terms xmlns="http://schemas.microsoft.com/office/infopath/2007/PartnerControls"/>
    </lcf76f155ced4ddcb4097134ff3c332f>
    <_DCDateModified xmlns="http://schemas.microsoft.com/sharepoint/v3/fields" xsi:nil="true"/>
    <Comment xmlns="4c3655a7-e423-4417-97bb-4318289dd84a" xsi:nil="true"/>
    <_DCDateCreated xmlns="http://schemas.microsoft.com/sharepoint/v3/fields"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3C2C3A1725FC849BF193D0C3DEFB6FF" ma:contentTypeVersion="24" ma:contentTypeDescription="Create a new document." ma:contentTypeScope="" ma:versionID="9de0027c195cb7e31febf121f94d3d39">
  <xsd:schema xmlns:xsd="http://www.w3.org/2001/XMLSchema" xmlns:xs="http://www.w3.org/2001/XMLSchema" xmlns:p="http://schemas.microsoft.com/office/2006/metadata/properties" xmlns:ns2="4c3655a7-e423-4417-97bb-4318289dd84a" xmlns:ns3="1cf481de-c19d-47f4-a275-1233559a005a" xmlns:ns4="http://schemas.microsoft.com/sharepoint/v3/fields" xmlns:ns5="100f26b1-9581-4d8d-a9fc-f582e245f9a6" targetNamespace="http://schemas.microsoft.com/office/2006/metadata/properties" ma:root="true" ma:fieldsID="1e06fe2eeabd0efd9fbe1764f060dc20" ns2:_="" ns3:_="" ns4:_="" ns5:_="">
    <xsd:import namespace="4c3655a7-e423-4417-97bb-4318289dd84a"/>
    <xsd:import namespace="1cf481de-c19d-47f4-a275-1233559a005a"/>
    <xsd:import namespace="http://schemas.microsoft.com/sharepoint/v3/fields"/>
    <xsd:import namespace="100f26b1-9581-4d8d-a9fc-f582e245f9a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Comment" minOccurs="0"/>
                <xsd:element ref="ns4:_DCDateModified" minOccurs="0"/>
                <xsd:element ref="ns4:_DCDateCreated" minOccurs="0"/>
                <xsd:element ref="ns2:lcf76f155ced4ddcb4097134ff3c332f" minOccurs="0"/>
                <xsd:element ref="ns5: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3655a7-e423-4417-97bb-4318289dd8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Comment" ma:index="21" nillable="true" ma:displayName="Comment" ma:format="Dropdown" ma:internalName="Comment">
      <xsd:simpleType>
        <xsd:restriction base="dms:Note">
          <xsd:maxLength value="255"/>
        </xsd:restrictio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884609c4-048b-4b80-a7b2-5057edd3097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f481de-c19d-47f4-a275-1233559a00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Modified" ma:index="23" nillable="true" ma:displayName="Date Modified" ma:description="The date on which this resource was last modified" ma:format="DateTime" ma:internalName="_DCDateModified">
      <xsd:simpleType>
        <xsd:restriction base="dms:DateTime"/>
      </xsd:simpleType>
    </xsd:element>
    <xsd:element name="_DCDateCreated" ma:index="24" nillable="true" ma:displayName="Date Created" ma:description="The date on which this resource was created" ma:format="DateTime" ma:internalName="_DCDateCreat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100f26b1-9581-4d8d-a9fc-f582e245f9a6"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b6da3050-14e0-4095-bf11-8c0181315b92}" ma:internalName="TaxCatchAll" ma:showField="CatchAllData" ma:web="100f26b1-9581-4d8d-a9fc-f582e245f9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E5B04F-5320-46C1-B1AF-F07D0FA70821}">
  <ds:schemaRefs>
    <ds:schemaRef ds:uri="http://purl.org/dc/terms/"/>
    <ds:schemaRef ds:uri="http://www.w3.org/XML/1998/namespace"/>
    <ds:schemaRef ds:uri="4c3655a7-e423-4417-97bb-4318289dd84a"/>
    <ds:schemaRef ds:uri="http://schemas.microsoft.com/office/2006/metadata/properties"/>
    <ds:schemaRef ds:uri="http://purl.org/dc/elements/1.1/"/>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100f26b1-9581-4d8d-a9fc-f582e245f9a6"/>
    <ds:schemaRef ds:uri="http://schemas.microsoft.com/sharepoint/v3/fields"/>
    <ds:schemaRef ds:uri="1cf481de-c19d-47f4-a275-1233559a005a"/>
  </ds:schemaRefs>
</ds:datastoreItem>
</file>

<file path=customXml/itemProps2.xml><?xml version="1.0" encoding="utf-8"?>
<ds:datastoreItem xmlns:ds="http://schemas.openxmlformats.org/officeDocument/2006/customXml" ds:itemID="{EE2D969A-FA7D-4F6F-B002-9CD807FB3DB2}">
  <ds:schemaRefs>
    <ds:schemaRef ds:uri="http://schemas.microsoft.com/sharepoint/v3/contenttype/forms"/>
  </ds:schemaRefs>
</ds:datastoreItem>
</file>

<file path=customXml/itemProps3.xml><?xml version="1.0" encoding="utf-8"?>
<ds:datastoreItem xmlns:ds="http://schemas.openxmlformats.org/officeDocument/2006/customXml" ds:itemID="{6D51B169-F088-4B5F-88E1-D498A5325A58}"/>
</file>

<file path=docMetadata/LabelInfo.xml><?xml version="1.0" encoding="utf-8"?>
<clbl:labelList xmlns:clbl="http://schemas.microsoft.com/office/2020/mipLabelMetadata">
  <clbl:label id="{a8ee12a3-5bcd-4f4e-b3f4-bbf43d9c570a}" enabled="0" method="" siteId="{a8ee12a3-5bcd-4f4e-b3f4-bbf43d9c570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Chiller</vt:lpstr>
      <vt:lpstr>RTU &amp; Split System</vt:lpstr>
      <vt:lpstr>Setup</vt:lpstr>
      <vt:lpstr>BusinessCoolingTypeList</vt:lpstr>
      <vt:lpstr>MultifamilyCoolingTypeList</vt:lpstr>
      <vt:lpstr>Chiller!Print_Area</vt:lpstr>
      <vt:lpstr>'RTU &amp; Split System'!Print_Area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Zach Obert</dc:creator>
  <cp:keywords/>
  <dc:description/>
  <cp:lastModifiedBy>Cory Clementz</cp:lastModifiedBy>
  <cp:revision/>
  <dcterms:created xsi:type="dcterms:W3CDTF">2014-07-28T18:22:22Z</dcterms:created>
  <dcterms:modified xsi:type="dcterms:W3CDTF">2026-01-15T16:13:57Z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0x01010093C2C3A1725FC849BF193D0C3DEFB6FF</vt:lpwstr>
  </property>
  <property fmtid="{D5CDD505-2E9C-101B-9397-08002B2CF9AE}" pid="3" name="AuthorIds_UIVersion_165">
    <vt:lpwstr>29</vt:lpwstr>
  </property>
  <property fmtid="{D5CDD505-2E9C-101B-9397-08002B2CF9AE}" pid="4" name="MediaServiceImageTags">
    <vt:lpwstr/>
  </property>
</Properties>
</file>